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omments4.xml" ContentType="application/vnd.openxmlformats-officedocument.spreadsheetml.comments+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comments6.xml" ContentType="application/vnd.openxmlformats-officedocument.spreadsheetml.comments+xml"/>
  <Override PartName="/xl/drawings/drawing11.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showInkAnnotation="0" codeName="ThisWorkbook" defaultThemeVersion="124226"/>
  <mc:AlternateContent xmlns:mc="http://schemas.openxmlformats.org/markup-compatibility/2006">
    <mc:Choice Requires="x15">
      <x15ac:absPath xmlns:x15ac="http://schemas.microsoft.com/office/spreadsheetml/2010/11/ac" url="C:\Users\massimo.solimbergo\Desktop\ONERI\BREMBATE DI SOPRA-OK-2023\"/>
    </mc:Choice>
  </mc:AlternateContent>
  <xr:revisionPtr revIDLastSave="0" documentId="8_{5DE2D971-D59F-48F4-8C83-65C15409139D}" xr6:coauthVersionLast="47" xr6:coauthVersionMax="47" xr10:uidLastSave="{00000000-0000-0000-0000-000000000000}"/>
  <bookViews>
    <workbookView xWindow="9045" yWindow="3135" windowWidth="38700" windowHeight="15345" tabRatio="727" xr2:uid="{00000000-000D-0000-FFFF-FFFF00000000}"/>
  </bookViews>
  <sheets>
    <sheet name="Procedura guidata" sheetId="27" r:id="rId1"/>
    <sheet name="Riepilogo generale" sheetId="13" r:id="rId2"/>
    <sheet name="Riepilogo oneri e costi" sheetId="2" r:id="rId3"/>
    <sheet name="Descrizione dell'intervento" sheetId="1" r:id="rId4"/>
    <sheet name="Calcolo superfici edificio" sheetId="29" r:id="rId5"/>
    <sheet name="Determinazione classe" sheetId="19" r:id="rId6"/>
    <sheet name="Costo Costruzione" sheetId="20" r:id="rId7"/>
    <sheet name="Costo costruzione statofatto" sheetId="17" r:id="rId8"/>
    <sheet name="Costo costruzione progetto" sheetId="7" r:id="rId9"/>
    <sheet name="Calcolo superficie parcheggio" sheetId="23" r:id="rId10"/>
    <sheet name="Rateizzazione" sheetId="28" state="hidden" r:id="rId11"/>
    <sheet name="Parametri" sheetId="22" state="hidden" r:id="rId12"/>
    <sheet name="Solo1" sheetId="12" state="hidden" r:id="rId13"/>
  </sheets>
  <definedNames>
    <definedName name="_xlnm.Print_Area" localSheetId="6">'Costo Costruzione'!$B$1:$S$36</definedName>
    <definedName name="_xlnm.Print_Area" localSheetId="8">'Costo costruzione progetto'!$B$1:$P$53</definedName>
    <definedName name="_xlnm.Print_Area" localSheetId="7">'Costo costruzione statofatto'!$A$1:$P$53</definedName>
    <definedName name="_xlnm.Print_Area" localSheetId="3">'Descrizione dell''intervento'!$B$1:$H$96</definedName>
    <definedName name="_xlnm.Print_Area" localSheetId="5">'Determinazione classe'!$A$3:$O$36</definedName>
    <definedName name="_xlnm.Print_Area" localSheetId="1">'Riepilogo generale'!$B$2:$F$81</definedName>
    <definedName name="_xlnm.Print_Area" localSheetId="2">'Riepilogo oneri e costi'!$B$2:$N$196</definedName>
    <definedName name="Calcolo_sup_parcheggi_tot_volume_UIU">'Calcolo superficie parcheggio'!$C$4:$C$22</definedName>
    <definedName name="CalcOn_OneriSmaltRif">'Riepilogo oneri e costi'!$G$82</definedName>
    <definedName name="CalcOn_OneriUrbPrim">'Riepilogo oneri e costi'!$G$54</definedName>
    <definedName name="CalcOn_OneriUrbSec">'Riepilogo oneri e costi'!$G$72</definedName>
    <definedName name="CC_AltriCosti_DescMaggCostoCAreeAgr">'Riepilogo oneri e costi'!$B$191</definedName>
    <definedName name="CC_AltriCosti_DescMaggOnPrimRecSott">'Riepilogo oneri e costi'!#REF!</definedName>
    <definedName name="CC_AltriCosti_DescMaggOnRecSottF2Primaria">'Riepilogo oneri e costi'!#REF!</definedName>
    <definedName name="CC_AltriCosti_DescMaggOnRecSottF2Secondaria">'Riepilogo oneri e costi'!#REF!</definedName>
    <definedName name="CC_AltriCosti_DescMaggOnSecRecSott">'Riepilogo oneri e costi'!#REF!</definedName>
    <definedName name="CC_AltriCosti_Sanzione">'Riepilogo oneri e costi'!$L$189</definedName>
    <definedName name="CC_AltriCosti_SanzioneLabel">'Riepilogo oneri e costi'!$B$189</definedName>
    <definedName name="CC_AltriCosti_ValoreMaggCCRecSott">'Riepilogo oneri e costi'!$M$169</definedName>
    <definedName name="CC_AltriCosti_ValoreMaggCostoCAreeAgr">'Riepilogo oneri e costi'!$M$191</definedName>
    <definedName name="CC_AltriCosti_ValoreMaggOnPrimRecSott">'Riepilogo oneri e costi'!$M$63</definedName>
    <definedName name="CC_AltriCosti_ValoreMaggOnRecSott">'Riepilogo oneri e costi'!$M$73</definedName>
    <definedName name="CC_AltriCosti_ValoreMaggOnRecSottF2Primaria">'Riepilogo oneri e costi'!#REF!</definedName>
    <definedName name="CC_AltriCosti_ValoreMaggOnRecSottF2Secondaria">'Riepilogo oneri e costi'!#REF!</definedName>
    <definedName name="CC_AltriCosti_ValoreMaggOnSecRecSott">'Riepilogo oneri e costi'!#REF!</definedName>
    <definedName name="CC_CommercioTerziario">'Riepilogo oneri e costi'!$L$162</definedName>
    <definedName name="CC_Corrisposto">'Riepilogo oneri e costi'!$M$173</definedName>
    <definedName name="cc_CostoCostRecSottProg">'Riepilogo oneri e costi'!$L$167</definedName>
    <definedName name="CC_lblPersonalizzazione1">'Riepilogo oneri e costi'!$B$40</definedName>
    <definedName name="CC_MaggConsumoSuolo">'Riepilogo oneri e costi'!$M$172</definedName>
    <definedName name="Cc_Modalitacalcolo" localSheetId="7">'Costo costruzione statofatto'!$D$3</definedName>
    <definedName name="Cc_Modalitacalcolo">'Costo costruzione progetto'!$D$3</definedName>
    <definedName name="CC_Oblazione">'Riepilogo oneri e costi'!$L$188</definedName>
    <definedName name="CC_Oneri_Urb_Prim_Corrisposti">'Riepilogo oneri e costi'!$M$68</definedName>
    <definedName name="CC_Oneri_Urb_Sec_Corrisposti">'Riepilogo oneri e costi'!$M$78</definedName>
    <definedName name="Cc_OneriSmaltRifiutiRif">'Riepilogo oneri e costi'!$L$84</definedName>
    <definedName name="Cc_OneriUrbPrimariaRif">'Riepilogo oneri e costi'!$L$70</definedName>
    <definedName name="Cc_OneriUrbSecondariaRif">'Riepilogo oneri e costi'!$L$80</definedName>
    <definedName name="CC_OpereUrbPrimRealizzate">'Riepilogo oneri e costi'!$M$69</definedName>
    <definedName name="CC_OpereUrbSecRealizzate">'Riepilogo oneri e costi'!$M$79</definedName>
    <definedName name="CC_Residenziale">'Riepilogo oneri e costi'!$L$160</definedName>
    <definedName name="CC_RiduzioneDensificazione">'Riepilogo oneri e costi'!$M$171</definedName>
    <definedName name="CC_RiduzioneDensificazione_StFatto_Prog">'Riepilogo oneri e costi'!$M$180</definedName>
    <definedName name="CC_RiduzionePianoCasa">'Riepilogo oneri e costi'!$M$170</definedName>
    <definedName name="CC_RiduzionePianoCasa_StFatto_Prog">'Riepilogo oneri e costi'!$M$179</definedName>
    <definedName name="CC_SanzioneCostoCostruzione">'Riepilogo oneri e costi'!#REF!</definedName>
    <definedName name="CC_SanzioneCostoCostruzione_StFatto_Prog">'Riepilogo oneri e costi'!#REF!</definedName>
    <definedName name="CC_SanzioneOneriUrbPrim">'Riepilogo oneri e costi'!#REF!</definedName>
    <definedName name="CC_SanzioneOneriUrbSec">'Riepilogo oneri e costi'!#REF!</definedName>
    <definedName name="CC_SanzioneSmaltimentoRifiuti">'Riepilogo oneri e costi'!#REF!</definedName>
    <definedName name="CC_SmaltimRif_Corrisposti">'Riepilogo oneri e costi'!$M$83</definedName>
    <definedName name="CC_StFatto_MaggConsumoSuolo">'Riepilogo oneri e costi'!$M$181</definedName>
    <definedName name="CCSF_DettContCostoCost_SommaIncrementi" localSheetId="7">'Costo costruzione statofatto'!$K$32</definedName>
    <definedName name="ccSottotetti_AliquotaContributo">#REF!</definedName>
    <definedName name="CCStatoFatto_SupCalcolo" localSheetId="6">'Costo Costruzione'!$M$13</definedName>
    <definedName name="CCStatoFatto_SupCalcolo">'Costo costruzione statofatto'!$L$35</definedName>
    <definedName name="Co_MonAreeParc">'Riepilogo oneri e costi'!$L$193</definedName>
    <definedName name="Co_MonAreeStand">'Riepilogo oneri e costi'!$L$192</definedName>
    <definedName name="Co_NEdResPrim" localSheetId="6">'Riepilogo oneri e costi'!$F$5</definedName>
    <definedName name="Co_NEdResPrim">'Riepilogo oneri e costi'!$F$5</definedName>
    <definedName name="Co_NEdResSec">'Riepilogo oneri e costi'!$F$6</definedName>
    <definedName name="Co_NEdSottPrim" localSheetId="6">'Riepilogo oneri e costi'!$L$37</definedName>
    <definedName name="Complessivo_ConMagg">'Riepilogo oneri e costi'!$L$196</definedName>
    <definedName name="ConsumoSuolo">'Descrizione dell''intervento'!$G$11</definedName>
    <definedName name="Costo_costruzione_Corrisposto">'Riepilogo generale'!$E$42</definedName>
    <definedName name="CostoBase_NuovaEdif">Parametri!$B$103</definedName>
    <definedName name="CostoBase_Ristrutturaz">Parametri!$B$104</definedName>
    <definedName name="CostoCost_Nuov_Ampl_EscCorrisposto">'Costo Costruzione'!$F$28</definedName>
    <definedName name="CostoCost_NuovaCost_CcEdificio">'Costo Costruzione'!$F$22</definedName>
    <definedName name="CostoCost_NuovaCost_ContrBaseMinistAliq">'Costo Costruzione'!$E$25</definedName>
    <definedName name="CostoCost_NuovaCost_ContrBaseMinistValore">'Costo Costruzione'!$F$25</definedName>
    <definedName name="CostoCost_NuovaCost_ContrComEstComAliq">'Costo Costruzione'!$E$27</definedName>
    <definedName name="CostoCost_NuovaCost_ContrComEstResAliq">'Costo Costruzione'!$E$26</definedName>
    <definedName name="CostoCost_NuovaCost_SupCompl">'Costo Costruzione'!$F$17</definedName>
    <definedName name="CostoCost_NuovaCostComm_ComputoEstim">'Costo Costruzione'!$F$15</definedName>
    <definedName name="CostoCost_NuovaCostComm_SupCompl">'Costo Costruzione'!$F$14</definedName>
    <definedName name="CostoCost_NuovaCostResid_ComputoEstim">'Costo Costruzione'!$F$8</definedName>
    <definedName name="CostoCost_NuovaCostResid_SupCompl">'Costo Costruzione'!$F$7</definedName>
    <definedName name="CostoCost_NuovaEdif_Dovuto">'Costo Costruzione'!$F$34</definedName>
    <definedName name="CostoCost_Riferimento">'Costo Costruzione'!#REF!</definedName>
    <definedName name="CostoCost_Riferimento_Valore">'Costo Costruzione'!$F$36</definedName>
    <definedName name="CostoCost_Rist_CcEdificio">'Costo Costruzione'!$M$22</definedName>
    <definedName name="CostoCost_Rist_ContrBaseMinistAliq">'Costo Costruzione'!$L$25</definedName>
    <definedName name="CostoCost_Rist_ContrBaseMinistValore">'Costo Costruzione'!$M$25</definedName>
    <definedName name="CostoCost_Rist_ContrComEstComAliq">'Costo Costruzione'!$L$27</definedName>
    <definedName name="CostoCost_Rist_ContrComEstResAliq">'Costo Costruzione'!$L$26</definedName>
    <definedName name="CostoCost_Rist_Resid_ComputoEstim">'Costo Costruzione'!$M$8</definedName>
    <definedName name="CostoCost_Rist_SupCompl">'Costo Costruzione'!$M$17</definedName>
    <definedName name="CostoCost_RistComm_ComputoEstim">'Costo Costruzione'!$M$15</definedName>
    <definedName name="CostoCost_RistComm_SupCompl">'Costo Costruzione'!$M$14</definedName>
    <definedName name="CostoCost_Ristr_EscCorrisposto">'Costo Costruzione'!$M$28</definedName>
    <definedName name="CostoCost_RistrAmpl_Dovuto">'Costo Costruzione'!$M$34</definedName>
    <definedName name="CostoCost_RistResid_SupCompl">'Costo Costruzione'!$M$7</definedName>
    <definedName name="CostoCost_Sot_CcEdificio">'Costo Costruzione'!$R$22</definedName>
    <definedName name="CostoCost_Sot_ContrBaseMinistAliq">'Costo Costruzione'!$Q$25</definedName>
    <definedName name="CostoCost_Sot_ContrComEstResAliq">'Costo Costruzione'!$Q$26</definedName>
    <definedName name="CostoCost_Sot_SupCompl">'Costo Costruzione'!$R$17</definedName>
    <definedName name="CostoCost_Sott_ContEscMagg">'Costo Costruzione'!$R$28</definedName>
    <definedName name="CostoCost_Sott_PercentMagg">'Costo Costruzione'!$R$31</definedName>
    <definedName name="CostoCost_Sottotetti_ComputoEstim">'Costo Costruzione'!$R$8</definedName>
    <definedName name="CostoCost_Sottotetti_ContrBaseMinistValore">'Costo Costruzione'!$R$25</definedName>
    <definedName name="CostoCost_SottotResid_SupCompl">'Costo Costruzione'!$R$7</definedName>
    <definedName name="CostoCostFinale_NuovaCostComm_ComputoEstim">'Costo Costruzione'!$F$27</definedName>
    <definedName name="CostoCostFinale_NuovaCostResid_ComputoEstim">'Costo Costruzione'!$F$26</definedName>
    <definedName name="CostoCostFinale_Rist_Resid_ComputoEstim">'Costo Costruzione'!$M$26</definedName>
    <definedName name="CostoCostFinale_RistComm_ComputoEstim">'Costo Costruzione'!$M$27</definedName>
    <definedName name="CostoCostFinale_Sottotetti_ComputoEstim">'Costo Costruzione'!$R$26</definedName>
    <definedName name="CostoCostProg_ContributoDovuto">'Costo costruzione progetto'!$N$52</definedName>
    <definedName name="CostoCostr_NuovaEdif_corrisposto_concessione_cong">'Costo Costruzione'!$F$31</definedName>
    <definedName name="CostoCostr_NuovaEdif_corrisposto_varianti">'Costo Costruzione'!$F$32</definedName>
    <definedName name="CostoCostr_NuovaEdif_Prog_corrisposto_concessione_cong">'Costo costruzione progetto'!$N$49</definedName>
    <definedName name="CostoCostr_NuovaEdif_Prog_corrisposto_varianti">'Costo costruzione progetto'!$N$50</definedName>
    <definedName name="CostoCostr_NuovaEdif_StFatto_corrisposto_concessione_cong">'Costo costruzione statofatto'!$N$49</definedName>
    <definedName name="CostoCostr_NuovaEdif_StFatto_corrisposto_varianti">'Costo costruzione statofatto'!$N$50</definedName>
    <definedName name="CostoCostr_Prog_StFatto_corrisposto">'Riepilogo oneri e costi'!$M$182</definedName>
    <definedName name="CostoCostr_Ristrutt_corrisposto_concessione_cong">'Costo Costruzione'!$M$31</definedName>
    <definedName name="CostoCostr_Ristrutt_corrisposto_varianti">'Costo Costruzione'!$M$32</definedName>
    <definedName name="CostoCostStatoFatto_ContributoDovuto">'Costo costruzione statofatto'!$N$52</definedName>
    <definedName name="DatiGen_IntervSanOnerosaForfImp">'Descrizione dell''intervento'!$G$6</definedName>
    <definedName name="DatiGen_ResidenzialeClasseA">'Descrizione dell''intervento'!$G$12</definedName>
    <definedName name="Densificazione">'Descrizione dell''intervento'!$G$10</definedName>
    <definedName name="DescInt_RisparmioPercent">'Descrizione dell''intervento'!$G$13</definedName>
    <definedName name="DescInt_RisparmioPercent_Etic">'Descrizione dell''intervento'!$B$13</definedName>
    <definedName name="DetCL_DettContCostoCost_SommaIncrementi">'Determinazione classe'!$M$32</definedName>
    <definedName name="DetClasse_Abitanti">Parametri!$C$135</definedName>
    <definedName name="DetClasse_CostoCostruzClasse">'Determinazione classe'!$N$32</definedName>
    <definedName name="DetClasse_CostoMaggioratoNuovaEdif">'Determinazione classe'!$O$35</definedName>
    <definedName name="DetClasse_CostoMaggioratoRistr">'Determinazione classe'!$O$38</definedName>
    <definedName name="DetClasse_Maggiorazione">'Determinazione classe'!$O$32</definedName>
    <definedName name="DetClasse_NomeMatrice">'Determinazione classe'!$K$3</definedName>
    <definedName name="DetClasse_NomeMatriceMinClassi">'Determinazione classe'!$L$3</definedName>
    <definedName name="DetClasse_SupUtile">'Determinazione classe'!$G$11</definedName>
    <definedName name="DetClasseEdificio_SupUtile">'Determinazione classe'!$E$11</definedName>
    <definedName name="DettaglioCostoCostruz_Classe" localSheetId="7">'Costo costruzione statofatto'!$L$32</definedName>
    <definedName name="DettaglioCostoCostruz_Classe">'Costo costruzione progetto'!$L$32</definedName>
    <definedName name="DettaglioCostoCostruz_TipoIntervento" localSheetId="7">'Costo costruzione statofatto'!$D$2</definedName>
    <definedName name="DettaglioCostoCostruz_TipoIntervento">'Costo costruzione progetto'!$D$2</definedName>
    <definedName name="DettContCostoCost_SommaIncrementi">'Costo costruzione progetto'!$K$32</definedName>
    <definedName name="DettContCostoCost_Sottot_Dovuto">'Costo Costruzione'!$R$34</definedName>
    <definedName name="DettCosCostruz_SupCalcolo">'Costo costruzione progetto'!$L$35</definedName>
    <definedName name="DettCosCostruz_SupCalcolo_Sottot">#REF!</definedName>
    <definedName name="dimensione_planimetrica_1">'Calcolo superfici edificio'!$K$19:$K$43</definedName>
    <definedName name="dimensione_planimetrica_1_totale">'Calcolo superfici edificio'!$K$44</definedName>
    <definedName name="dimensione_planimetrica_2">'Calcolo superfici edificio'!$L$19:$L$43</definedName>
    <definedName name="dimensione_planimetrica_2_totale">'Calcolo superfici edificio'!$L$44</definedName>
    <definedName name="dimensione_planimetrica_3">'Calcolo superfici edificio'!$M$19:$M$43</definedName>
    <definedName name="dimensione_planimetrica_3_totale">'Calcolo superfici edificio'!$M$44</definedName>
    <definedName name="dimensione_planimetrica_4">'Calcolo superfici edificio'!$N$19:$N$43</definedName>
    <definedName name="dimensione_planimetrica_4_totale">'Calcolo superfici edificio'!$N$44</definedName>
    <definedName name="dimensione_planimetrica_5">'Calcolo superfici edificio'!$O$19:$O$43</definedName>
    <definedName name="dimensione_planimetrica_5_totale">'Calcolo superfici edificio'!$O$44</definedName>
    <definedName name="dimensione_planimetrica_snr1_totale">'Calcolo superfici edificio'!$O$51</definedName>
    <definedName name="dimensione_planimetrica_snr2_totale">'Calcolo superfici edificio'!$O$53</definedName>
    <definedName name="dimensione_planimetrica_snr3_totale">'Calcolo superfici edificio'!$O$55</definedName>
    <definedName name="dimensione_planimetrica_totali">'Calcolo superfici edificio'!$K$44:$O$44</definedName>
    <definedName name="EdiliziaConvenzionata">'Descrizione dell''intervento'!$G$7</definedName>
    <definedName name="elenco_riepilogo_sua_snr">'Calcolo superfici edificio'!$G$7:$G$14</definedName>
    <definedName name="ElencoZone">Parametri!$B$4:$B$48</definedName>
    <definedName name="ElencoZoneMonetizzazione">Parametri!$B$88:$B$92</definedName>
    <definedName name="ElencoZoneMonetizzazione_Parcheggi">Parametri!$B$96:$B$100</definedName>
    <definedName name="ElencoZoneTerritoriali">Parametri!$B$53:$B$68</definedName>
    <definedName name="ImportoAltriCosti" localSheetId="6">'Riepilogo oneri e costi'!#REF!</definedName>
    <definedName name="ImportoAltriCosti" localSheetId="7">'Riepilogo oneri e costi'!#REF!</definedName>
    <definedName name="ImportoAltriCosti" localSheetId="5">'Riepilogo oneri e costi'!#REF!</definedName>
    <definedName name="ImportoAltriCosti">'Riepilogo oneri e costi'!$L$194</definedName>
    <definedName name="ImportoAmmenda">'Riepilogo oneri e costi'!#REF!</definedName>
    <definedName name="ImportoCostoCostruzione">'Riepilogo oneri e costi'!$L$174</definedName>
    <definedName name="ImportoCostoCostruzione_AltriCosti">'Riepilogo oneri e costi'!#REF!</definedName>
    <definedName name="ImportoCostoCostruzione_conAltriCosti">'Riepilogo oneri e costi'!$L$185</definedName>
    <definedName name="ImportoCostoCostruzione_MaggRiduz">'Riepilogo oneri e costi'!#REF!</definedName>
    <definedName name="ImportoCostoCostruzione_senzaAltriCosti">'Riepilogo oneri e costi'!#REF!</definedName>
    <definedName name="ImportoCostoCostruzione_StatoFattoProgetto">'Riepilogo oneri e costi'!$L$183</definedName>
    <definedName name="ImportoOneriSmaltimentoRif" localSheetId="6">'Riepilogo oneri e costi'!$M$82</definedName>
    <definedName name="ImportoOneriSmaltimentoRif" localSheetId="7">'Riepilogo oneri e costi'!$M$82</definedName>
    <definedName name="ImportoOneriSmaltimentoRif" localSheetId="5">'Riepilogo oneri e costi'!$M$82</definedName>
    <definedName name="ImportoOneriSmaltimentoRif">'Riepilogo oneri e costi'!$M$82</definedName>
    <definedName name="ImportoOneriSmaltRif_NuovaDest">'Riepilogo oneri e costi'!$L$149</definedName>
    <definedName name="ImportoOneriUrb1">'Riepilogo oneri e costi'!$L$62</definedName>
    <definedName name="ImportoOneriUrb1_NuovaDest">'Riepilogo oneri e costi'!$L$147</definedName>
    <definedName name="ImportoOneriUrb2">'Riepilogo oneri e costi'!$L$72</definedName>
    <definedName name="ImportoOneriUrb2_NuovaDest">'Riepilogo oneri e costi'!$L$148</definedName>
    <definedName name="ImportoOneriUrbanizzazione" localSheetId="6">'Riepilogo oneri e costi'!$L$86</definedName>
    <definedName name="ImportoOneriUrbanizzazione" localSheetId="7">'Riepilogo oneri e costi'!$L$86</definedName>
    <definedName name="ImportoOneriUrbanizzazione" localSheetId="5">'Riepilogo oneri e costi'!$L$86</definedName>
    <definedName name="ImportoOneriUrbanizzazione">'Riepilogo oneri e costi'!$L$86</definedName>
    <definedName name="ImportoOneriUrbanizzazione_AltriCosti">'Riepilogo oneri e costi'!#REF!</definedName>
    <definedName name="ImportoOneriUrbanizzazione_NuovaDest">'Riepilogo oneri e costi'!$L$151</definedName>
    <definedName name="ImportoOneriUrbanizzazione_Riferimento">'Riepilogo oneri e costi'!$L$154</definedName>
    <definedName name="ImportoOneriUrbanizzazione_Riferimento_hide">#REF!</definedName>
    <definedName name="ImportoOneriUrbPrim_NuovaDest">'Riepilogo oneri e costi'!$L$147</definedName>
    <definedName name="ImportoOneriUrbRecSottPrimaria">'Riepilogo oneri e costi'!$L$37</definedName>
    <definedName name="ImportoOneriUrbRecSottPrimaria_NuovaDest">'Riepilogo oneri e costi'!#REF!</definedName>
    <definedName name="ImportoOneriUrbRecSottSecondaria">'Riepilogo oneri e costi'!$L$38</definedName>
    <definedName name="ImportoOneriUrbRecSottSecondaria_NuovaDest">'Riepilogo oneri e costi'!#REF!</definedName>
    <definedName name="ImportoSmaltRifiuti_NuovaDest">'Riepilogo oneri e costi'!$L$152</definedName>
    <definedName name="InSanatoria">'Descrizione dell''intervento'!$G$5</definedName>
    <definedName name="link_descrizione_intervento">'Descrizione dell''intervento'!$B$2</definedName>
    <definedName name="link_monetizzazione_standards">'Descrizione dell''intervento'!$B$82</definedName>
    <definedName name="link_oneri_urbanizzazione">'Descrizione dell''intervento'!$B$16</definedName>
    <definedName name="link_oneri_urbanizzazione_cambio_uso">'Descrizione dell''intervento'!$B$65</definedName>
    <definedName name="Maggiorazione" localSheetId="6">'Riepilogo generale'!$E$71</definedName>
    <definedName name="Maggiorazione" localSheetId="7">'Riepilogo generale'!$E$71</definedName>
    <definedName name="Maggiorazione" localSheetId="5">'Riepilogo generale'!$E$71</definedName>
    <definedName name="Maggiorazione">'Riepilogo generale'!$E$71</definedName>
    <definedName name="MatriceParametri">Parametri!$C$4:$AD$48</definedName>
    <definedName name="Monetizz_Aree_sup" localSheetId="6">'Descrizione dell''intervento'!$G$85</definedName>
    <definedName name="Monetizz_Aree_sup" localSheetId="7">'Descrizione dell''intervento'!$G$85</definedName>
    <definedName name="Monetizz_Aree_sup" localSheetId="5">'Descrizione dell''intervento'!$G$85</definedName>
    <definedName name="Monetizz_Aree_sup">'Descrizione dell''intervento'!$G$85</definedName>
    <definedName name="Monetizz_Parcheggi_Sup" localSheetId="6">'Descrizione dell''intervento'!$G$91</definedName>
    <definedName name="Monetizz_Parcheggi_Sup" localSheetId="7">'Descrizione dell''intervento'!$G$91</definedName>
    <definedName name="Monetizz_Parcheggi_Sup" localSheetId="5">'Descrizione dell''intervento'!$G$91</definedName>
    <definedName name="Monetizz_Parcheggi_Sup">'Descrizione dell''intervento'!$G$91</definedName>
    <definedName name="Monetizzazione" localSheetId="6">'Riepilogo oneri e costi'!$L$148</definedName>
    <definedName name="Monetizzazione" localSheetId="7">'Riepilogo oneri e costi'!$L$148</definedName>
    <definedName name="Monetizzazione" localSheetId="5">'Riepilogo oneri e costi'!$L$148</definedName>
    <definedName name="Monetizzazione">'Riepilogo oneri e costi'!$L$193</definedName>
    <definedName name="OC_RispEnerResid_Hide">'Riepilogo oneri e costi'!$N$5</definedName>
    <definedName name="OC_RispEnerSecResid_Hide">'Riepilogo oneri e costi'!$N$6</definedName>
    <definedName name="Oneri_Urb_Prim_Corrisposti">'Descrizione dell''intervento'!$G$19</definedName>
    <definedName name="oneri_urb_prim_dest_finale">'Riepilogo oneri e costi'!$J$143</definedName>
    <definedName name="oneri_urb_prim_dest_iniziale">'Riepilogo oneri e costi'!$F$143</definedName>
    <definedName name="Oneri_Urb_Sec_Corrisposti">'Descrizione dell''intervento'!$G$20</definedName>
    <definedName name="oneri_urb_sec_dest_finale">'Riepilogo oneri e costi'!$J$144</definedName>
    <definedName name="oneri_urb_sec_dest_iniziale">'Riepilogo oneri e costi'!$F$144</definedName>
    <definedName name="OneriTotali" localSheetId="6">'Riepilogo oneri e costi'!$L$155</definedName>
    <definedName name="OneriTotali" localSheetId="7">'Riepilogo oneri e costi'!$L$155</definedName>
    <definedName name="OneriTotali" localSheetId="5">'Riepilogo oneri e costi'!$L$155</definedName>
    <definedName name="OneriTotali">'Riepilogo oneri e costi'!#REF!</definedName>
    <definedName name="OnPrim_MaggiorazioneConsumoSuolo">'Riepilogo oneri e costi'!#REF!</definedName>
    <definedName name="OnPrim_RiduzioneDensificazione">'Riepilogo oneri e costi'!$M$66</definedName>
    <definedName name="OnPrim_RiduzionePianoCasa">'Riepilogo oneri e costi'!$M$64</definedName>
    <definedName name="OnPrim_RiduzioneRispEnerg">'Riepilogo oneri e costi'!$M$67</definedName>
    <definedName name="OnPrim_RiduzioneSostituzione">'Riepilogo oneri e costi'!$M$65</definedName>
    <definedName name="OnSec_MaggiorazioneConsumoSuolo">'Riepilogo oneri e costi'!#REF!</definedName>
    <definedName name="OnSec_RiduzioneDensificazione">'Riepilogo oneri e costi'!$M$76</definedName>
    <definedName name="OnSec_RiduzionePianoCasa">'Riepilogo oneri e costi'!$M$74</definedName>
    <definedName name="OnSec_RiduzioneRispEnerg">'Riepilogo oneri e costi'!$M$77</definedName>
    <definedName name="OnSec_RiduzioneSostituzione">'Riepilogo oneri e costi'!$M$75</definedName>
    <definedName name="OnUrb_AltriCosti_DescMaggCostoCAreeAgr">'Riepilogo oneri e costi'!$B$190</definedName>
    <definedName name="OnUrb_AltriCosti_ValoreMaggCostoCAreeAgr">'Riepilogo oneri e costi'!$M$190</definedName>
    <definedName name="OpereUrbPrimRealizzate">'Descrizione dell''intervento'!$G$22</definedName>
    <definedName name="OpereUrbSecRealizzate">'Descrizione dell''intervento'!$G$23</definedName>
    <definedName name="opzioni">Parametri!$I$88:$I$89</definedName>
    <definedName name="Ou_Cost_AttCulSan_NuovaEdif">'Descrizione dell''intervento'!$G$32</definedName>
    <definedName name="Ou_Cost_AttSpett_NuovaEdif">'Descrizione dell''intervento'!$G$34</definedName>
    <definedName name="Ou_Cost_AttSport_NuovaEdif">'Descrizione dell''intervento'!$G$33</definedName>
    <definedName name="Ou_Cost_Comm_NuovaEdif">'Descrizione dell''intervento'!$G$28</definedName>
    <definedName name="Ou_Cost_IndAlb_NuovaEdif">'Descrizione dell''intervento'!$G$30</definedName>
    <definedName name="Ou_Cost_IndArt_NuovaEdif">'Descrizione dell''intervento'!$G$29</definedName>
    <definedName name="Ou_Cost_Parc_NuovaEdif">'Descrizione dell''intervento'!$G$31</definedName>
    <definedName name="Ou_Cost_Personalizzazione1_NuovaEdif">'Descrizione dell''intervento'!$G$35</definedName>
    <definedName name="Ou_Cost_Personalizzazione2_NuovaEdif">'Descrizione dell''intervento'!$G$36</definedName>
    <definedName name="Ou_Cost_Personalizzazione3_NuovaEdif">'Descrizione dell''intervento'!$G$37</definedName>
    <definedName name="Ou_Cost_Personalizzazione4_NuovaEdif">'Descrizione dell''intervento'!$G$38</definedName>
    <definedName name="Ou_Cost_Personalizzazione5_NuovaEdif">'Descrizione dell''intervento'!$G$39</definedName>
    <definedName name="Ou_Cost_Res_NuovaEdif">'Descrizione dell''intervento'!$G$27</definedName>
    <definedName name="Ou_NuovaEd_AreaAgricola">'Descrizione dell''intervento'!$D$47</definedName>
    <definedName name="Ou_NuovaEd_AreaAgricolaPerc">'Descrizione dell''intervento'!$G$47</definedName>
    <definedName name="Ou_NuovaEd_AreaAgricolaSupAreaAg">'Descrizione dell''intervento'!$F$47</definedName>
    <definedName name="Ou_NuovaEd_AreaAgricolaSupLotto">'Descrizione dell''intervento'!$E$47</definedName>
    <definedName name="Ou_NuovaEd_AttSpet_CompMet">'Descrizione dell''intervento'!#REF!</definedName>
    <definedName name="Ou_NuovaEd_AttSpet_ParReale">'Descrizione dell''intervento'!$D$34</definedName>
    <definedName name="Ou_NuovaEd_AttSpet_ParVirt">'Descrizione dell''intervento'!$G$74</definedName>
    <definedName name="Ou_NuovaEd_AttSpor_CompMet">'Descrizione dell''intervento'!#REF!</definedName>
    <definedName name="Ou_NuovaEd_AttSpor_ParReale">'Descrizione dell''intervento'!$D$33</definedName>
    <definedName name="Ou_NuovaEd_AttSpor_ParVirt">'Descrizione dell''intervento'!$G$73</definedName>
    <definedName name="Ou_NuovaEd_Com_CompMet" localSheetId="6">'Descrizione dell''intervento'!#REF!</definedName>
    <definedName name="Ou_NuovaEd_Com_CompMet" localSheetId="7">'Descrizione dell''intervento'!#REF!</definedName>
    <definedName name="Ou_NuovaEd_Com_CompMet" localSheetId="5">'Descrizione dell''intervento'!#REF!</definedName>
    <definedName name="Ou_NuovaEd_Com_ParReale">'Descrizione dell''intervento'!$D$28</definedName>
    <definedName name="Ou_NuovaEd_Com_ParVirt">'Descrizione dell''intervento'!$G$68</definedName>
    <definedName name="Ou_NuovaEd_CultSan_CompMet">'Descrizione dell''intervento'!#REF!</definedName>
    <definedName name="Ou_NuovaEd_CultSan_ParReale">'Descrizione dell''intervento'!$D$32</definedName>
    <definedName name="Ou_NuovaEd_CultSan_ParVirt">'Descrizione dell''intervento'!$G$72</definedName>
    <definedName name="Ou_NuovaEd_IndAlb_CompMet">'Descrizione dell''intervento'!#REF!</definedName>
    <definedName name="Ou_NuovaEd_IndAlb_ParReale">'Descrizione dell''intervento'!$D$30</definedName>
    <definedName name="Ou_NuovaEd_IndAlb_ParVirt">'Descrizione dell''intervento'!$G$70</definedName>
    <definedName name="Ou_NuovaEd_IndArt_CompMet">'Descrizione dell''intervento'!#REF!</definedName>
    <definedName name="Ou_NuovaEd_IndArt_ParReale">'Descrizione dell''intervento'!$D$29</definedName>
    <definedName name="Ou_NuovaEd_IndArt_ParVirt">'Descrizione dell''intervento'!$G$69</definedName>
    <definedName name="Ou_NuovaEd_ParSil_CompMet">'Descrizione dell''intervento'!#REF!</definedName>
    <definedName name="Ou_NuovaEd_ParSil_ParReale">'Descrizione dell''intervento'!$D$31</definedName>
    <definedName name="Ou_NuovaEd_ParSil_ParVirt">'Descrizione dell''intervento'!$G$71</definedName>
    <definedName name="Ou_NuovaEd_Person1_ParVirt">'Descrizione dell''intervento'!$G$75</definedName>
    <definedName name="Ou_NuovaEd_Person2_ParVirt">'Descrizione dell''intervento'!$G$76</definedName>
    <definedName name="Ou_NuovaEd_Person3_ParVirt">'Descrizione dell''intervento'!$G$77</definedName>
    <definedName name="Ou_NuovaEd_Person4_ParVirt">'Descrizione dell''intervento'!$G$78</definedName>
    <definedName name="Ou_NuovaEd_Person5_ParVirt">'Descrizione dell''intervento'!$G$79</definedName>
    <definedName name="Ou_NuovaEd_Res_ParVirt">'Descrizione dell''intervento'!$G$67</definedName>
    <definedName name="Ou_NuovaEd_Sottotetti_ParReale">'Descrizione dell''intervento'!$G$43</definedName>
    <definedName name="Ou_NuovaEd_Sottotetti_ParVirt">'Descrizione dell''intervento'!$E$80</definedName>
    <definedName name="Ou_NuovaEd_SottotettiNonAbit_ParReale" localSheetId="6">'Descrizione dell''intervento'!#REF!</definedName>
    <definedName name="Ou_NuovaEd_SottotettiNonAbit_ParReale" localSheetId="7">'Descrizione dell''intervento'!#REF!</definedName>
    <definedName name="Ou_NuovaEd_SottotettiNonAbit_ParReale" localSheetId="5">'Descrizione dell''intervento'!#REF!</definedName>
    <definedName name="Ou_NuovaEd_SottotettiNonAbit_ParReale">'Descrizione dell''intervento'!#REF!</definedName>
    <definedName name="Ou_PrimariaDefiniti">'Descrizione dell''intervento'!$G$17</definedName>
    <definedName name="Ou_Rist_AttSpet">'Descrizione dell''intervento'!$G$58</definedName>
    <definedName name="Ou_Rist_AttSpet_CompMet">'Descrizione dell''intervento'!$F$58</definedName>
    <definedName name="Ou_Rist_AttSpet_ParReale">'Descrizione dell''intervento'!$D$58</definedName>
    <definedName name="Ou_Rist_AttSpet_ParVirt">'Descrizione dell''intervento'!$E$58</definedName>
    <definedName name="Ou_Rist_AttSpor">'Descrizione dell''intervento'!$G$57</definedName>
    <definedName name="Ou_Rist_AttSpor_CompMet">'Descrizione dell''intervento'!$F$57</definedName>
    <definedName name="Ou_Rist_AttSpor_ParReale">'Descrizione dell''intervento'!$D$57</definedName>
    <definedName name="Ou_Rist_AttSpor_ParVirt">'Descrizione dell''intervento'!$E$57</definedName>
    <definedName name="Ou_Rist_Com">'Descrizione dell''intervento'!$G$52</definedName>
    <definedName name="Ou_Rist_Com_CompMet">'Descrizione dell''intervento'!$F$52</definedName>
    <definedName name="Ou_Rist_Com_ParReale">'Descrizione dell''intervento'!$D$52</definedName>
    <definedName name="Ou_Rist_Com_ParVirt">'Descrizione dell''intervento'!$E$52</definedName>
    <definedName name="Ou_Rist_CultSan">'Descrizione dell''intervento'!$G$56</definedName>
    <definedName name="Ou_Rist_CultSan_CompMet">'Descrizione dell''intervento'!$F$56</definedName>
    <definedName name="Ou_Rist_CultSan_ParReale">'Descrizione dell''intervento'!$D$56</definedName>
    <definedName name="Ou_Rist_CultSan_ParVirt">'Descrizione dell''intervento'!$E$56</definedName>
    <definedName name="Ou_Rist_IndAlb">'Descrizione dell''intervento'!$G$54</definedName>
    <definedName name="Ou_Rist_IndAlb_CompMet">'Descrizione dell''intervento'!$F$54</definedName>
    <definedName name="Ou_Rist_IndAlb_ParReale">'Descrizione dell''intervento'!$D$54</definedName>
    <definedName name="Ou_Rist_IndAlb_ParVirt">'Descrizione dell''intervento'!$E$54</definedName>
    <definedName name="Ou_Rist_IndArt">'Descrizione dell''intervento'!$G$53</definedName>
    <definedName name="Ou_Rist_IndArt_CompMet">'Descrizione dell''intervento'!$F$53</definedName>
    <definedName name="Ou_Rist_IndArt_ParReale">'Descrizione dell''intervento'!$D$53</definedName>
    <definedName name="Ou_Rist_IndArt_ParVirt">'Descrizione dell''intervento'!$E$53</definedName>
    <definedName name="Ou_Rist_ParSil">'Descrizione dell''intervento'!$G$55</definedName>
    <definedName name="Ou_Rist_ParSil_CompMet">'Descrizione dell''intervento'!$F$55</definedName>
    <definedName name="Ou_Rist_ParSil_ParReale">'Descrizione dell''intervento'!$D$55</definedName>
    <definedName name="Ou_Rist_ParSil_ParVirt">'Descrizione dell''intervento'!$E$55</definedName>
    <definedName name="Ou_Rist_Personalizzazione1">'Descrizione dell''intervento'!$G$59</definedName>
    <definedName name="Ou_Rist_Personalizzazione1_CompMet">'Descrizione dell''intervento'!$F$59</definedName>
    <definedName name="Ou_Rist_Personalizzazione1_ParReale">'Descrizione dell''intervento'!$D$59</definedName>
    <definedName name="Ou_Rist_Personalizzazione1_ParVirt">'Descrizione dell''intervento'!$E$59</definedName>
    <definedName name="Ou_Rist_Personalizzazione2">'Descrizione dell''intervento'!$G$60</definedName>
    <definedName name="Ou_Rist_Personalizzazione2_CompMet">'Descrizione dell''intervento'!$F$60</definedName>
    <definedName name="Ou_Rist_Personalizzazione2_ParReale">'Descrizione dell''intervento'!$D$60</definedName>
    <definedName name="Ou_Rist_Personalizzazione2_ParVirt">'Descrizione dell''intervento'!$E$60</definedName>
    <definedName name="Ou_Rist_Personalizzazione3">'Descrizione dell''intervento'!$G$61</definedName>
    <definedName name="Ou_Rist_Personalizzazione3_CompMet">'Descrizione dell''intervento'!$F$61</definedName>
    <definedName name="Ou_Rist_Personalizzazione3_ParReale">'Descrizione dell''intervento'!$D$61</definedName>
    <definedName name="Ou_Rist_Personalizzazione3_ParVirt">'Descrizione dell''intervento'!$E$61</definedName>
    <definedName name="Ou_Rist_Personalizzazione4">'Descrizione dell''intervento'!$G$62</definedName>
    <definedName name="Ou_Rist_Personalizzazione4_CompMet">'Descrizione dell''intervento'!$F$62</definedName>
    <definedName name="Ou_Rist_Personalizzazione4_ParReale">'Descrizione dell''intervento'!$D$62</definedName>
    <definedName name="Ou_Rist_Personalizzazione4_ParVirt">'Descrizione dell''intervento'!$E$62</definedName>
    <definedName name="Ou_Rist_Personalizzazione5">'Descrizione dell''intervento'!$G$63</definedName>
    <definedName name="Ou_Rist_Personalizzazione5_CompMet">'Descrizione dell''intervento'!$F$63</definedName>
    <definedName name="Ou_Rist_Personalizzazione5_ParReale">'Descrizione dell''intervento'!$D$63</definedName>
    <definedName name="Ou_Rist_Personalizzazione5_ParVirt">'Descrizione dell''intervento'!$E$63</definedName>
    <definedName name="Ou_Rist_Res">'Descrizione dell''intervento'!$G$51</definedName>
    <definedName name="Ou_Rist_Res_CompMet">'Descrizione dell''intervento'!$F$51</definedName>
    <definedName name="Ou_Rist_Res_ParReale" localSheetId="6">'Descrizione dell''intervento'!$D$51</definedName>
    <definedName name="Ou_Rist_Res_ParReale" localSheetId="7">'Descrizione dell''intervento'!$D$51</definedName>
    <definedName name="Ou_Rist_Res_ParReale" localSheetId="5">'Descrizione dell''intervento'!$D$51</definedName>
    <definedName name="Ou_Rist_Res_ParReale">'Descrizione dell''intervento'!$D$51</definedName>
    <definedName name="Ou_Rist_Res_ParVirt">'Descrizione dell''intervento'!$E$51</definedName>
    <definedName name="Ou_SecDefiniti">'Descrizione dell''intervento'!$G$18</definedName>
    <definedName name="Ou_UsoIniziale_AttSpet_ParVirt">'Descrizione dell''intervento'!$F$74</definedName>
    <definedName name="Ou_UsoIniziale_AttSpor_ParVirt">'Descrizione dell''intervento'!$F$73</definedName>
    <definedName name="Ou_UsoIniziale_Com_ParVirt">'Descrizione dell''intervento'!$F$68</definedName>
    <definedName name="Ou_UsoIniziale_CultSan_ParVirt">'Descrizione dell''intervento'!$F$72</definedName>
    <definedName name="Ou_UsoIniziale_IndAlb_ParVirt">'Descrizione dell''intervento'!$F$70</definedName>
    <definedName name="Ou_UsoIniziale_IndArt_ParVirt">'Descrizione dell''intervento'!$F$69</definedName>
    <definedName name="Ou_UsoIniziale_ParSil_ParVirt">'Descrizione dell''intervento'!$F$71</definedName>
    <definedName name="Ou_UsoIniziale_Person1_ParVirt">'Descrizione dell''intervento'!$F$75</definedName>
    <definedName name="Ou_UsoIniziale_Person2_ParVirt">'Descrizione dell''intervento'!$F$76</definedName>
    <definedName name="Ou_UsoIniziale_Person3_ParVirt">'Descrizione dell''intervento'!$F$77</definedName>
    <definedName name="Ou_UsoIniziale_Person4_ParVirt">'Descrizione dell''intervento'!$F$78</definedName>
    <definedName name="Ou_UsoIniziale_Person5_ParVirt">'Descrizione dell''intervento'!$F$79</definedName>
    <definedName name="Ou_UsoIniziale_Res_ParVirt">'Descrizione dell''intervento'!$F$67</definedName>
    <definedName name="Par_PianoCasa_Rid">Parametri!$B$116</definedName>
    <definedName name="Par_PianoCasa_RidCC">Parametri!$C$116</definedName>
    <definedName name="Par_Rid_ConsumoSuolo">Parametri!$B$130</definedName>
    <definedName name="Par_Rid_Densificazione_CC">Parametri!$C$127</definedName>
    <definedName name="Par_Rid_Densificazione_Oneri">Parametri!$B$127</definedName>
    <definedName name="Par_Sostituzione_Rid_Oneri">Parametri!$B$120</definedName>
    <definedName name="Parametri_Aliquota_terziario_nuova_costr">Parametri!$B$108</definedName>
    <definedName name="Parametri_Aliquota_terziario_ristrutt">Parametri!$C$108</definedName>
    <definedName name="Parametri_Classi">Parametri!$B$139:$G$149</definedName>
    <definedName name="Parametri_ClassiSopr50000Ab">Parametri!$B$153:$G$163</definedName>
    <definedName name="Parametri_ColonnaDesinazione1">Parametri!$C$2</definedName>
    <definedName name="Parametri_DestUsoPersonalizzazione1">Parametri!$C$72</definedName>
    <definedName name="Parametri_DestUsoPersonalizzazione10">Parametri!$C$81</definedName>
    <definedName name="Parametri_DestUsoPersonalizzazione11">Parametri!$C$82</definedName>
    <definedName name="Parametri_DestUsoPersonalizzazione12">Parametri!$C$83</definedName>
    <definedName name="Parametri_DestUsoPersonalizzazione13">Parametri!$C$84</definedName>
    <definedName name="Parametri_DestUsoPersonalizzazione2">Parametri!$C$73</definedName>
    <definedName name="Parametri_DestUsoPersonalizzazione3">Parametri!$C$74</definedName>
    <definedName name="Parametri_DestUsoPersonalizzazione4">Parametri!$C$75</definedName>
    <definedName name="Parametri_DestUsoPersonalizzazione5">Parametri!$C$76</definedName>
    <definedName name="Parametri_DestUsoPersonalizzazione6">Parametri!$C$77</definedName>
    <definedName name="Parametri_DestUsoPersonalizzazione7">Parametri!$C$78</definedName>
    <definedName name="Parametri_DestUsoPersonalizzazione8">Parametri!$C$79</definedName>
    <definedName name="Parametri_DestUsoPersonalizzazione9">Parametri!$C$80</definedName>
    <definedName name="Parametri_DirittiTecnici">Parametri!#REF!</definedName>
    <definedName name="Parametri_DirSegrUnitario">Parametri!#REF!</definedName>
    <definedName name="Parametri_ElencoPercRidConsumoSuolo">Parametri!$B$130:$C$133</definedName>
    <definedName name="Parametri_ElencoZoneMatrice">Parametri!$B$88:$E$92</definedName>
    <definedName name="Parametri_ElencoZoneMonetizzAreeStandDesc">Parametri!$C$88:$C$92</definedName>
    <definedName name="Parametri_ElencoZoneMonetizzParcheggiDesc">Parametri!$C$96:$C$100</definedName>
    <definedName name="Parametri_ElencoZoneParcheggiMatrice">Parametri!$B$96:$E$100</definedName>
    <definedName name="Parametri_ElencoZoneTerritorialiDesc">Parametri!$C$53:$C$68</definedName>
    <definedName name="Parametri_MaggiorazioneAreeAgric">Parametri!$B$123</definedName>
    <definedName name="Parametri_MaggiorazioneSottotetti">Parametri!$B$112</definedName>
    <definedName name="Parametri_MaggiorazioneSottotettiCC">Parametri!$C$112</definedName>
    <definedName name="Parametri_MaggiorazioneSottotettiF2">Parametri!#REF!</definedName>
    <definedName name="Parametri_MaxClassi">Parametri!$D$139:$D$149</definedName>
    <definedName name="Parametri_MaxClassiSopr50000Ab">Parametri!$D$153:$D$163</definedName>
    <definedName name="Parametri_MinClassi">Parametri!$C$139:$C$149</definedName>
    <definedName name="Parametri_MinClassiSopr50000Ab">Parametri!$C$153:$C$163</definedName>
    <definedName name="Parametri_MonetizzazioneAreeStand">Parametri!$C$88:$E$92</definedName>
    <definedName name="Parametri_MonetizzazioneParcheggi">Parametri!$C$96:$E$100</definedName>
    <definedName name="Parcheggio_Recupero_Sottotetti">'Calcolo superficie parcheggio'!$D$23</definedName>
    <definedName name="passo_descrizione_intervento">'Procedura guidata'!$X$3:$AC$5</definedName>
    <definedName name="PianoCasa">'Descrizione dell''intervento'!$G$8</definedName>
    <definedName name="Rateizzazione_1RataCC">Rateizzazione!$D$11</definedName>
    <definedName name="Rateizzazione_1RataOnPrim">Rateizzazione!$D$13</definedName>
    <definedName name="Rateizzazione_1RataOnSec">Rateizzazione!$D$14</definedName>
    <definedName name="Rateizzazione_1RataSR">Rateizzazione!$D$12</definedName>
    <definedName name="Rateizzazione_2RataCC">Rateizzazione!$E$22</definedName>
    <definedName name="Rateizzazione_2RataOnPrim">Rateizzazione!$E$24</definedName>
    <definedName name="Rateizzazione_2RataOnSec">Rateizzazione!$E$25</definedName>
    <definedName name="Rateizzazione_2RataSR">Rateizzazione!$E$23</definedName>
    <definedName name="Rateizzazione_3RataCC">Rateizzazione!$F$22</definedName>
    <definedName name="Rateizzazione_3RataOnPrim">Rateizzazione!$F$24</definedName>
    <definedName name="Rateizzazione_3RataOnSec">Rateizzazione!$F$25</definedName>
    <definedName name="Rateizzazione_3RataSR">Rateizzazione!$F$23</definedName>
    <definedName name="Rateizzazione_4RataCC">Rateizzazione!$G$22</definedName>
    <definedName name="Rateizzazione_4RataOnPrim">Rateizzazione!$G$24</definedName>
    <definedName name="Rateizzazione_4RataOnSec">Rateizzazione!$G$25</definedName>
    <definedName name="Rateizzazione_4RataSR">Rateizzazione!$G$23</definedName>
    <definedName name="Rateizzazione_DataProtocollo">Rateizzazione!$G$5</definedName>
    <definedName name="Rateizzazione_ImportoFidejussione">Rateizzazione!$G$35</definedName>
    <definedName name="Rateizzazione_InteresseLegale">Rateizzazione!$G$6</definedName>
    <definedName name="Rateizzazione_Sanzioni">Rateizzazione!$G$33</definedName>
    <definedName name="Rateizzazione_Scadenza1Rata">Rateizzazione!$D$18</definedName>
    <definedName name="Rateizzazione_Scadenza2Rata">Rateizzazione!$E$29</definedName>
    <definedName name="Rateizzazione_Scadenza3Rata">Rateizzazione!$F$29</definedName>
    <definedName name="Rateizzazione_Scadenza4Rata">Rateizzazione!$G$29</definedName>
    <definedName name="Rateizzazione_ScadenzaFidejussione">Rateizzazione!$G$37</definedName>
    <definedName name="Rateizzazione_Totale1Rata">Rateizzazione!$D$16</definedName>
    <definedName name="Rateizzazione_Totale2Rata">Rateizzazione!$E$27</definedName>
    <definedName name="Rateizzazione_Totale3Rata">Rateizzazione!$F$27</definedName>
    <definedName name="Rateizzazione_Totale4Rata">Rateizzazione!$G$27</definedName>
    <definedName name="Rateizzazione_TotaleRate">Rateizzazione!$G$32</definedName>
    <definedName name="Riep_DatiProg_EvSupSottRec">'Riepilogo generale'!$E$74</definedName>
    <definedName name="Riep_DatiProg_SupComp">'Riepilogo generale'!$E$72</definedName>
    <definedName name="Riepilogo_AltriCosti">'Riepilogo generale'!$E$64</definedName>
    <definedName name="Riepilogo_Ammenda">'Riepilogo generale'!#REF!</definedName>
    <definedName name="Riepilogo_CC_AltriCosti_ValoreMaggCostoCAreeAgr">'Riepilogo generale'!$E$62</definedName>
    <definedName name="Riepilogo_Cc_OneriSmaltRifiutiRif">'Riepilogo generale'!$E$31</definedName>
    <definedName name="Riepilogo_CC_RiduzioneDensificazione">'Riepilogo generale'!$E$40</definedName>
    <definedName name="Riepilogo_CC_RiduzionePianoCasa">'Riepilogo generale'!$E$39</definedName>
    <definedName name="Riepilogo_CC_SanzioneSmaltimentoRifiuti">'Riepilogo generale'!#REF!</definedName>
    <definedName name="Riepilogo_ContCostCompresaMagg">'Riepilogo generale'!$E$66</definedName>
    <definedName name="Riepilogo_Contributo_costruzione">'Riepilogo generale'!$E$54</definedName>
    <definedName name="Riepilogo_CostoCostEsclusoSott">'Riepilogo generale'!$E$36</definedName>
    <definedName name="Riepilogo_CostoCostruzione">'Riepilogo generale'!$E$43</definedName>
    <definedName name="Riepilogo_CostoCostruzione_StatoFattoProgetto">'Riepilogo generale'!$E$50</definedName>
    <definedName name="Riepilogo_CostoCostruzione_totale">'Riepilogo generale'!$E$52</definedName>
    <definedName name="Riepilogo_CostoCostSott">'Riepilogo generale'!$E$37</definedName>
    <definedName name="Riepilogo_DirittiTecnici">'Riepilogo generale'!$E$63</definedName>
    <definedName name="Riepilogo_MaggCostoCostConsumoSuolo">'Riepilogo generale'!$E$41</definedName>
    <definedName name="Riepilogo_MaggCostoCostSott">'Riepilogo generale'!$E$38</definedName>
    <definedName name="Riepilogo_MaggCostoStFattoCostConsumoSuolo">'Riepilogo generale'!$E$48</definedName>
    <definedName name="Riepilogo_MaggOneriUrbPrimConsumoSuolo">'Riepilogo generale'!#REF!</definedName>
    <definedName name="Riepilogo_MaggOneriUrbPrimSott">'Riepilogo generale'!$E$7</definedName>
    <definedName name="Riepilogo_MaggOneriUrbSecConsumoSuolo">'Riepilogo generale'!#REF!</definedName>
    <definedName name="Riepilogo_MaggOneriUrbSecSott">'Riepilogo generale'!$E$19</definedName>
    <definedName name="Riepilogo_MonetizzAreeStand">'Riepilogo generale'!$E$59</definedName>
    <definedName name="Riepilogo_MonetizzParcheggi">'Riepilogo generale'!$E$60</definedName>
    <definedName name="Riepilogo_Oblazione">'Riepilogo generale'!$E$57</definedName>
    <definedName name="Riepilogo_Oneri_RiduzionePianoCasa">'Riepilogo generale'!#REF!</definedName>
    <definedName name="Riepilogo_Oneri_Urb_Prim_Corrisposti">'Riepilogo generale'!$E$12</definedName>
    <definedName name="Riepilogo_Oneri_Urb_Sec_Corrisposti">'Riepilogo generale'!$E$24</definedName>
    <definedName name="Riepilogo_OneriSecPrim">'Riepilogo generale'!$E$26</definedName>
    <definedName name="Riepilogo_OneriSmaltRifiutiCambioUso">'Riepilogo generale'!$E$29</definedName>
    <definedName name="Riepilogo_OneriSmaltRifiutiRif">'Riepilogo generale'!$E$28</definedName>
    <definedName name="Riepilogo_OneriUrbanizzazione">'Riepilogo generale'!$E$33</definedName>
    <definedName name="Riepilogo_OneriUrbPrim">'Riepilogo generale'!$E$14</definedName>
    <definedName name="Riepilogo_OneriUrbPrimCambioUso">'Riepilogo generale'!$E$5</definedName>
    <definedName name="Riepilogo_OneriUrbPrimEsclusoSott">'Riepilogo generale'!$E$4</definedName>
    <definedName name="Riepilogo_OneriUrbPrimSott">'Riepilogo generale'!$E$6</definedName>
    <definedName name="Riepilogo_OneriUrbSecCambioUso">'Riepilogo generale'!$E$17</definedName>
    <definedName name="Riepilogo_OneriUrbSecEsclusoSott">'Riepilogo generale'!$E$16</definedName>
    <definedName name="Riepilogo_OneriUrbSecSott">'Riepilogo generale'!$E$18</definedName>
    <definedName name="Riepilogo_OnUrb_AltriCosti_ValoreMaggCostoCAreeAgr">'Riepilogo generale'!$E$61</definedName>
    <definedName name="Riepilogo_OpereUrbPrimRealizzate">'Riepilogo generale'!$E$13</definedName>
    <definedName name="Riepilogo_OpereUrbSecRealizzate">'Riepilogo generale'!$E$25</definedName>
    <definedName name="Riepilogo_RiduDensificazioneOneriUrbPrim">'Riepilogo generale'!$E$10</definedName>
    <definedName name="Riepilogo_RiduDensificazioneOneriUrbSec">'Riepilogo generale'!$E$22</definedName>
    <definedName name="Riepilogo_RiduPianoCasaOneriUrbPrim">'Riepilogo generale'!$E$8</definedName>
    <definedName name="Riepilogo_RiduPianoCasaOneriUrbSec">'Riepilogo generale'!$E$20</definedName>
    <definedName name="Riepilogo_RiduRispEnerOup">'Riepilogo generale'!$E$11</definedName>
    <definedName name="Riepilogo_RiduRispEnerOus">'Riepilogo generale'!$E$23</definedName>
    <definedName name="Riepilogo_RiduSostituzioneOneriUrbPrim">'Riepilogo generale'!$E$9</definedName>
    <definedName name="Riepilogo_RiduSostituzioneOneriUrbSec">'Riepilogo generale'!$E$21</definedName>
    <definedName name="Riepilogo_Sanzione">'Riepilogo generale'!$E$58</definedName>
    <definedName name="Riepilogo_SanzioneCostoCostruzione">'Riepilogo generale'!#REF!</definedName>
    <definedName name="Riepilogo_SanzioneOneriUrbPrim">'Riepilogo generale'!#REF!</definedName>
    <definedName name="Riepilogo_SanzioneOneriUrbSec">'Riepilogo generale'!#REF!</definedName>
    <definedName name="Riepilogo_SmaltimRif_Corrisposti">'Riepilogo generale'!$E$30</definedName>
    <definedName name="Riepilogo_ulteriori_oneri">'Riepilogo generale'!#REF!</definedName>
    <definedName name="RiepilogoCostoCostruzione_StatoFattoProgetto_Corrisposto">'Riepilogo generale'!$E$49</definedName>
    <definedName name="RiepilogoCostoCostruzione_StatoFattoProgetto_Densifcazione">'Riepilogo generale'!$E$47</definedName>
    <definedName name="RiepilogoCostoCostruzione_StatoFattoProgetto_Dovuto">'Riepilogo generale'!$E$45</definedName>
    <definedName name="RiepilogoCostoCostruzione_StatoFattoProgetto_PianoCasa">'Riepilogo generale'!$E$46</definedName>
    <definedName name="RisparmioEnergetico_VolumeNettoResid" localSheetId="6">'Descrizione dell''intervento'!#REF!</definedName>
    <definedName name="RisparmioEnergetico_VolumeNettoResid" localSheetId="7">'Descrizione dell''intervento'!#REF!</definedName>
    <definedName name="RisparmioEnergetico_VolumeNettoResid" localSheetId="5">'Descrizione dell''intervento'!#REF!</definedName>
    <definedName name="RisparmioEnergetico_VolumeNettoResid">'Descrizione dell''intervento'!#REF!</definedName>
    <definedName name="RistruttEdil_IndusAlberg_CambioDest">'Descrizione dell''intervento'!$G$80</definedName>
    <definedName name="selezione_ampliamento">'Procedura guidata'!$L$8</definedName>
    <definedName name="selezione_calcolo_completo">'Procedura guidata'!#REF!</definedName>
    <definedName name="selezione_cambio_uso">'Procedura guidata'!$AQ$8</definedName>
    <definedName name="selezione_costo_costr_comp_nuova_costruzione">'Procedura guidata'!#REF!</definedName>
    <definedName name="selezione_costo_costr_comp_ristrutturazione">'Procedura guidata'!#REF!</definedName>
    <definedName name="selezione_costo_costr_standard_ampliamento">'Procedura guidata'!#REF!</definedName>
    <definedName name="selezione_costo_costr_standard_cambio_uso">'Procedura guidata'!#REF!</definedName>
    <definedName name="selezione_costo_costr_standard_nuova_costruzione">'Procedura guidata'!#REF!</definedName>
    <definedName name="selezione_costo_costr_standard_ristrutturazione">'Procedura guidata'!#REF!</definedName>
    <definedName name="selezione_costo_costr_standard_sottotetti">'Procedura guidata'!#REF!</definedName>
    <definedName name="selezione_descrizione_intervento">'Procedura guidata'!#REF!</definedName>
    <definedName name="selezione_monetizzazione_ampliamento">'Procedura guidata'!#REF!</definedName>
    <definedName name="selezione_monetizzazione_cambio_uso">'Procedura guidata'!#REF!</definedName>
    <definedName name="selezione_monetizzazione_nuova_costr">'Procedura guidata'!#REF!</definedName>
    <definedName name="selezione_monetizzazione_sottotetti">'Procedura guidata'!#REF!</definedName>
    <definedName name="selezione_nuova_costr_calcolo_costo">'Procedura guidata'!#REF!</definedName>
    <definedName name="selezione_nuova_costr_classe">'Procedura guidata'!#REF!</definedName>
    <definedName name="selezione_nuova_costr_progetto">'Procedura guidata'!$D$39</definedName>
    <definedName name="selezione_nuova_costr_stato_fatto">'Procedura guidata'!$D$35</definedName>
    <definedName name="selezione_nuova_costruzione">'Procedura guidata'!$B$8</definedName>
    <definedName name="selezione_oneri_ampliamento">'Procedura guidata'!#REF!</definedName>
    <definedName name="selezione_oneri_cambio_uso">'Procedura guidata'!#REF!</definedName>
    <definedName name="selezione_oneri_nuova_costruzione">'Procedura guidata'!#REF!</definedName>
    <definedName name="selezione_oneri_ristrutturazione">'Procedura guidata'!#REF!</definedName>
    <definedName name="selezione_oneri_sottotetti">'Procedura guidata'!#REF!</definedName>
    <definedName name="selezione_parcheggi_sottotetti">'Procedura guidata'!#REF!</definedName>
    <definedName name="selezione_passo_descrizione_intervento">'Procedura guidata'!$W$3</definedName>
    <definedName name="selezione_ristrutt_calcolo_costo">'Procedura guidata'!#REF!</definedName>
    <definedName name="selezione_ristrutt_classe">'Procedura guidata'!#REF!</definedName>
    <definedName name="selezione_ristrutt_progetto">'Procedura guidata'!#REF!</definedName>
    <definedName name="selezione_ristrutt_stato_fatto">'Procedura guidata'!#REF!</definedName>
    <definedName name="selezione_ristrutturazione">'Procedura guidata'!$V$8</definedName>
    <definedName name="selezione_sottotetti">'Procedura guidata'!$AG$8</definedName>
    <definedName name="smalt_rifiuti_dest_finale">'Riepilogo oneri e costi'!$J$145</definedName>
    <definedName name="smalt_rifiuti_dest_iniziale">'Riepilogo oneri e costi'!$F$145</definedName>
    <definedName name="SmaltimRif_Corrisposti">'Descrizione dell''intervento'!$G$21</definedName>
    <definedName name="Solo1_DirittoSegreteria" localSheetId="7">Solo1!#REF!</definedName>
    <definedName name="Sostituzione">'Descrizione dell''intervento'!$G$9</definedName>
    <definedName name="Test">Parametri!$H$88:$K$92</definedName>
    <definedName name="Totale_alloggi_edificio">'Calcolo superfici edificio'!$O$57</definedName>
    <definedName name="Totale_snr_edificio">'Calcolo superfici edificio'!$O$59</definedName>
    <definedName name="Totale_sua_edificio">'Calcolo superfici edificio'!$O$58</definedName>
    <definedName name="TotaleIncrementi" localSheetId="6">'Riepilogo generale'!$E$69</definedName>
    <definedName name="TotaleIncrementi" localSheetId="7">'Riepilogo generale'!$E$69</definedName>
    <definedName name="TotaleIncrementi" localSheetId="5">'Riepilogo generale'!$E$69</definedName>
    <definedName name="TotaleIncrementi">'Riepilogo generale'!$E$69</definedName>
    <definedName name="UIrecuperate">'Riepilogo generale'!$E$79</definedName>
    <definedName name="Volume_Recupero_Sottotetti">'Calcolo superficie parcheggio'!$C$23</definedName>
    <definedName name="Zona1">Parametri!$B$54</definedName>
    <definedName name="Zona10">Parametri!$B$63</definedName>
    <definedName name="Zona11">Parametri!$B$64</definedName>
    <definedName name="Zona12">Parametri!$B$65</definedName>
    <definedName name="Zona13">Parametri!$B$66</definedName>
    <definedName name="Zona14">Parametri!$B$67</definedName>
    <definedName name="Zona15">Parametri!$B$68</definedName>
    <definedName name="Zona2">Parametri!$B$55</definedName>
    <definedName name="Zona3">Parametri!$B$56</definedName>
    <definedName name="Zona4">Parametri!$B$57</definedName>
    <definedName name="Zona5">Parametri!$B$58</definedName>
    <definedName name="Zona6">Parametri!$B$59</definedName>
    <definedName name="Zona7">Parametri!$B$60</definedName>
    <definedName name="Zona8">Parametri!$B$61</definedName>
    <definedName name="Zona9">Parametri!$B$62</definedName>
    <definedName name="ZonaMonetizzazioneAreeStand">'Descrizione dell''intervento'!$G$83</definedName>
    <definedName name="ZonaMonetizzazioneAreeStand_Valore">'Riepilogo oneri e costi'!$O$192</definedName>
    <definedName name="ZonaMonetizzazioneParcheg">'Descrizione dell''intervento'!$G$89</definedName>
    <definedName name="ZonaMonetizzazioneParcheggi_Valore">'Riepilogo oneri e costi'!$O$193</definedName>
    <definedName name="ZonaTerritoriale">'Descrizione dell''intervento'!$G$3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20" l="1"/>
  <c r="B1" i="1" l="1"/>
  <c r="O12" i="20" l="1"/>
  <c r="O11" i="20"/>
  <c r="O10" i="20"/>
  <c r="D48" i="13" l="1"/>
  <c r="L172" i="2"/>
  <c r="L181" i="2"/>
  <c r="D41" i="13"/>
  <c r="F2" i="12" l="1"/>
  <c r="G2" i="12"/>
  <c r="M69" i="2"/>
  <c r="E13" i="13"/>
  <c r="G210" i="29"/>
  <c r="M42" i="29"/>
  <c r="L42" i="29"/>
  <c r="M40" i="29"/>
  <c r="O38" i="29"/>
  <c r="M36" i="29"/>
  <c r="K36" i="29"/>
  <c r="O34" i="29"/>
  <c r="N34" i="29"/>
  <c r="M34" i="29"/>
  <c r="L34" i="29"/>
  <c r="K34" i="29"/>
  <c r="O30" i="29"/>
  <c r="K30" i="29"/>
  <c r="K28" i="29"/>
  <c r="I390" i="29"/>
  <c r="H390" i="29"/>
  <c r="G390" i="29"/>
  <c r="F390" i="29"/>
  <c r="O43" i="29"/>
  <c r="I375" i="29"/>
  <c r="H375" i="29"/>
  <c r="G375" i="29"/>
  <c r="F375" i="29"/>
  <c r="O42" i="29" s="1"/>
  <c r="K42" i="29"/>
  <c r="I360" i="29"/>
  <c r="H360" i="29"/>
  <c r="G360" i="29"/>
  <c r="F360" i="29"/>
  <c r="N41" i="29" s="1"/>
  <c r="I345" i="29"/>
  <c r="H345" i="29"/>
  <c r="G345" i="29"/>
  <c r="F345" i="29"/>
  <c r="O40" i="29" s="1"/>
  <c r="I330" i="29"/>
  <c r="H330" i="29"/>
  <c r="G330" i="29"/>
  <c r="F330" i="29"/>
  <c r="K39" i="29" s="1"/>
  <c r="I315" i="29"/>
  <c r="H315" i="29"/>
  <c r="G315" i="29"/>
  <c r="F315" i="29"/>
  <c r="K38" i="29" s="1"/>
  <c r="N38" i="29"/>
  <c r="I300" i="29"/>
  <c r="H300" i="29"/>
  <c r="G300" i="29"/>
  <c r="F300" i="29"/>
  <c r="N37" i="29" s="1"/>
  <c r="M37" i="29"/>
  <c r="I285" i="29"/>
  <c r="H285" i="29"/>
  <c r="G285" i="29"/>
  <c r="F285" i="29"/>
  <c r="L36" i="29" s="1"/>
  <c r="O36" i="29"/>
  <c r="I270" i="29"/>
  <c r="H270" i="29"/>
  <c r="G270" i="29"/>
  <c r="F270" i="29"/>
  <c r="K35" i="29" s="1"/>
  <c r="O35" i="29"/>
  <c r="I255" i="29"/>
  <c r="H255" i="29"/>
  <c r="G255" i="29"/>
  <c r="F255" i="29"/>
  <c r="I240" i="29"/>
  <c r="H240" i="29"/>
  <c r="G240" i="29"/>
  <c r="F240" i="29"/>
  <c r="L33" i="29" s="1"/>
  <c r="O33" i="29"/>
  <c r="I225" i="29"/>
  <c r="H225" i="29"/>
  <c r="G225" i="29"/>
  <c r="F225" i="29"/>
  <c r="L32" i="29"/>
  <c r="I210" i="29"/>
  <c r="H210" i="29"/>
  <c r="F210" i="29"/>
  <c r="K31" i="29" s="1"/>
  <c r="I195" i="29"/>
  <c r="H195" i="29"/>
  <c r="G195" i="29"/>
  <c r="F195" i="29"/>
  <c r="N30" i="29" s="1"/>
  <c r="I180" i="29"/>
  <c r="H180" i="29"/>
  <c r="G180" i="29"/>
  <c r="F180" i="29"/>
  <c r="N29" i="29" s="1"/>
  <c r="I165" i="29"/>
  <c r="H165" i="29"/>
  <c r="I150" i="29"/>
  <c r="H150" i="29"/>
  <c r="I135" i="29"/>
  <c r="H135" i="29"/>
  <c r="I120" i="29"/>
  <c r="H120" i="29"/>
  <c r="I105" i="29"/>
  <c r="H105" i="29"/>
  <c r="I90" i="29"/>
  <c r="H90" i="29"/>
  <c r="I75" i="29"/>
  <c r="H75" i="29"/>
  <c r="I60" i="29"/>
  <c r="H60" i="29"/>
  <c r="I45" i="29"/>
  <c r="H45" i="29"/>
  <c r="I30" i="29"/>
  <c r="H30" i="29"/>
  <c r="O28" i="29"/>
  <c r="L28" i="29"/>
  <c r="G165" i="29"/>
  <c r="F165" i="29"/>
  <c r="M28" i="29"/>
  <c r="G150" i="29"/>
  <c r="F150" i="29"/>
  <c r="M27" i="29" s="1"/>
  <c r="N27" i="29"/>
  <c r="G135" i="29"/>
  <c r="F135" i="29"/>
  <c r="N26" i="29" s="1"/>
  <c r="G120" i="29"/>
  <c r="F120" i="29"/>
  <c r="N25" i="29" s="1"/>
  <c r="L25" i="29"/>
  <c r="G105" i="29"/>
  <c r="F105" i="29"/>
  <c r="O24" i="29"/>
  <c r="G90" i="29"/>
  <c r="F90" i="29"/>
  <c r="M23" i="29"/>
  <c r="G75" i="29"/>
  <c r="F75" i="29"/>
  <c r="N22" i="29" s="1"/>
  <c r="G60" i="29"/>
  <c r="F60" i="29"/>
  <c r="M21" i="29" s="1"/>
  <c r="K21" i="29"/>
  <c r="G45" i="29"/>
  <c r="F45" i="29"/>
  <c r="M20" i="29"/>
  <c r="G30" i="29"/>
  <c r="F30" i="29"/>
  <c r="N19" i="29"/>
  <c r="E25" i="13"/>
  <c r="M79" i="2"/>
  <c r="H2" i="12"/>
  <c r="M83" i="2"/>
  <c r="E30" i="13"/>
  <c r="N40" i="17"/>
  <c r="N40" i="7"/>
  <c r="M65" i="2"/>
  <c r="E9" i="13" s="1"/>
  <c r="M20" i="20"/>
  <c r="O37" i="19"/>
  <c r="M75" i="2"/>
  <c r="L75" i="2" s="1"/>
  <c r="M182" i="2"/>
  <c r="E49" i="13" s="1"/>
  <c r="I67" i="1"/>
  <c r="I51" i="1"/>
  <c r="I43" i="1"/>
  <c r="I14" i="1"/>
  <c r="I27" i="1"/>
  <c r="E57" i="13"/>
  <c r="L188" i="2" s="1"/>
  <c r="G29" i="28"/>
  <c r="G37" i="28"/>
  <c r="F29" i="28"/>
  <c r="E29" i="28"/>
  <c r="D18" i="28"/>
  <c r="G47" i="1"/>
  <c r="B23" i="13"/>
  <c r="B11" i="13"/>
  <c r="L68" i="2"/>
  <c r="L78" i="2"/>
  <c r="L77" i="2"/>
  <c r="L67" i="2"/>
  <c r="D23" i="13"/>
  <c r="D11" i="13"/>
  <c r="R31" i="20"/>
  <c r="L3" i="19"/>
  <c r="K3" i="19"/>
  <c r="E63" i="1"/>
  <c r="G63" i="1" s="1"/>
  <c r="E62" i="1"/>
  <c r="G62" i="1" s="1"/>
  <c r="B63" i="1"/>
  <c r="B62" i="1"/>
  <c r="B79" i="1"/>
  <c r="B78" i="1"/>
  <c r="H138" i="2"/>
  <c r="H134" i="2"/>
  <c r="D138" i="2"/>
  <c r="D134" i="2"/>
  <c r="B138" i="2"/>
  <c r="B134" i="2"/>
  <c r="D56" i="2"/>
  <c r="D52" i="2"/>
  <c r="B56" i="2"/>
  <c r="B52" i="2"/>
  <c r="B39" i="1"/>
  <c r="B38" i="1"/>
  <c r="AC2" i="22"/>
  <c r="AA2" i="22"/>
  <c r="E79" i="13"/>
  <c r="D49" i="13"/>
  <c r="D42" i="13"/>
  <c r="D24" i="13"/>
  <c r="D12" i="13"/>
  <c r="B4" i="2"/>
  <c r="E20" i="7"/>
  <c r="E25" i="7"/>
  <c r="E26" i="7" s="1"/>
  <c r="M173" i="2"/>
  <c r="L182" i="2" s="1"/>
  <c r="K46" i="17"/>
  <c r="N46" i="17" s="1"/>
  <c r="K46" i="7"/>
  <c r="N46" i="7" s="1"/>
  <c r="L27" i="20"/>
  <c r="H163" i="2" s="1"/>
  <c r="E27" i="20"/>
  <c r="F27" i="20" s="1"/>
  <c r="F163" i="2" s="1"/>
  <c r="B47" i="1"/>
  <c r="B46" i="22"/>
  <c r="B43" i="22"/>
  <c r="B40" i="22"/>
  <c r="B37" i="22"/>
  <c r="B34" i="22"/>
  <c r="B31" i="22"/>
  <c r="B28" i="22"/>
  <c r="B25" i="22"/>
  <c r="B19" i="22"/>
  <c r="B16" i="22"/>
  <c r="B13" i="22"/>
  <c r="B10" i="22"/>
  <c r="B7" i="22"/>
  <c r="B4" i="22"/>
  <c r="H135" i="2" s="1"/>
  <c r="B22" i="22"/>
  <c r="B118" i="2"/>
  <c r="B114" i="2"/>
  <c r="B110" i="2"/>
  <c r="B106" i="2"/>
  <c r="B102" i="2"/>
  <c r="B98" i="2"/>
  <c r="B94" i="2"/>
  <c r="B90" i="2"/>
  <c r="B32" i="2"/>
  <c r="B28" i="2"/>
  <c r="B24" i="2"/>
  <c r="B20" i="2"/>
  <c r="B16" i="2"/>
  <c r="B12" i="2"/>
  <c r="B8" i="2"/>
  <c r="B34" i="1"/>
  <c r="B33" i="1"/>
  <c r="B32" i="1"/>
  <c r="B31" i="1"/>
  <c r="B30" i="1"/>
  <c r="B29" i="1"/>
  <c r="B28" i="1"/>
  <c r="B27" i="1"/>
  <c r="B74" i="1"/>
  <c r="B73" i="1"/>
  <c r="B72" i="1"/>
  <c r="B71" i="1"/>
  <c r="B70" i="1"/>
  <c r="B69" i="1"/>
  <c r="B68" i="1"/>
  <c r="B67" i="1"/>
  <c r="B58" i="1"/>
  <c r="B57" i="1"/>
  <c r="B56" i="1"/>
  <c r="B55" i="1"/>
  <c r="B54" i="1"/>
  <c r="B53" i="1"/>
  <c r="B52" i="1"/>
  <c r="B51" i="1"/>
  <c r="S2" i="22"/>
  <c r="Q2" i="22"/>
  <c r="O2" i="22"/>
  <c r="M2" i="22"/>
  <c r="K2" i="22"/>
  <c r="I2" i="22"/>
  <c r="G2" i="22"/>
  <c r="C2" i="22"/>
  <c r="C23" i="23"/>
  <c r="E78" i="13" s="1"/>
  <c r="D2" i="12"/>
  <c r="E2" i="12"/>
  <c r="U2" i="22"/>
  <c r="W2" i="22"/>
  <c r="Y2" i="22"/>
  <c r="C140" i="22"/>
  <c r="C141" i="22"/>
  <c r="C142" i="22"/>
  <c r="C143" i="22"/>
  <c r="C144" i="22"/>
  <c r="C145" i="22"/>
  <c r="C146" i="22"/>
  <c r="C147" i="22"/>
  <c r="C148" i="22"/>
  <c r="C149" i="22"/>
  <c r="C154" i="22"/>
  <c r="C155" i="22"/>
  <c r="C156" i="22"/>
  <c r="C157" i="22"/>
  <c r="C158" i="22"/>
  <c r="C159" i="22"/>
  <c r="C160" i="22"/>
  <c r="C161" i="22"/>
  <c r="C162" i="22"/>
  <c r="C163" i="22"/>
  <c r="B4" i="23"/>
  <c r="B5" i="23"/>
  <c r="B6" i="23"/>
  <c r="B7" i="23"/>
  <c r="D4" i="23"/>
  <c r="D23" i="23" s="1"/>
  <c r="E80" i="13" s="1"/>
  <c r="D5" i="23"/>
  <c r="D6" i="23"/>
  <c r="D7" i="23"/>
  <c r="B8" i="23"/>
  <c r="D8" i="23"/>
  <c r="B9" i="23"/>
  <c r="D9" i="23"/>
  <c r="B10" i="23"/>
  <c r="D10" i="23"/>
  <c r="B11" i="23"/>
  <c r="D11" i="23"/>
  <c r="B12" i="23"/>
  <c r="D12" i="23"/>
  <c r="B13" i="23"/>
  <c r="D13" i="23"/>
  <c r="B14" i="23"/>
  <c r="D14" i="23"/>
  <c r="B15" i="23"/>
  <c r="D15" i="23"/>
  <c r="B16" i="23"/>
  <c r="D16" i="23"/>
  <c r="B17" i="23"/>
  <c r="D17" i="23"/>
  <c r="B18" i="23"/>
  <c r="D18" i="23"/>
  <c r="B19" i="23"/>
  <c r="D19" i="23"/>
  <c r="B20" i="23"/>
  <c r="D20" i="23"/>
  <c r="B21" i="23"/>
  <c r="D21" i="23"/>
  <c r="B22" i="23"/>
  <c r="D22" i="23"/>
  <c r="H7" i="17"/>
  <c r="J7" i="17" s="1"/>
  <c r="H8" i="17"/>
  <c r="J8" i="17" s="1"/>
  <c r="H9" i="17"/>
  <c r="J9" i="17"/>
  <c r="H10" i="17"/>
  <c r="J10" i="17" s="1"/>
  <c r="E11" i="17"/>
  <c r="E20" i="17"/>
  <c r="F20" i="17"/>
  <c r="F26" i="17" s="1"/>
  <c r="F28" i="17" s="1"/>
  <c r="F24" i="17"/>
  <c r="I24" i="17"/>
  <c r="K30" i="17"/>
  <c r="I25" i="17"/>
  <c r="I26" i="17"/>
  <c r="I27" i="17"/>
  <c r="I28" i="17"/>
  <c r="I29" i="17"/>
  <c r="E34" i="17"/>
  <c r="E35" i="17"/>
  <c r="F34" i="17"/>
  <c r="F36" i="17"/>
  <c r="H8" i="7"/>
  <c r="J8" i="7" s="1"/>
  <c r="H9" i="7"/>
  <c r="J9" i="7" s="1"/>
  <c r="H10" i="7"/>
  <c r="J10" i="7" s="1"/>
  <c r="E11" i="7"/>
  <c r="E24" i="7" s="1"/>
  <c r="E27" i="7" s="1"/>
  <c r="L34" i="7" s="1"/>
  <c r="L35" i="7" s="1"/>
  <c r="F20" i="7"/>
  <c r="F26" i="7" s="1"/>
  <c r="F28" i="7" s="1"/>
  <c r="F24" i="7"/>
  <c r="I24" i="7"/>
  <c r="K30" i="7"/>
  <c r="I25" i="7"/>
  <c r="I26" i="7"/>
  <c r="I27" i="7"/>
  <c r="I28" i="7"/>
  <c r="I29" i="7"/>
  <c r="E34" i="7"/>
  <c r="E35" i="7" s="1"/>
  <c r="F34" i="7"/>
  <c r="F36" i="7"/>
  <c r="M6" i="20"/>
  <c r="M7" i="20"/>
  <c r="R6" i="20"/>
  <c r="R7" i="20" s="1"/>
  <c r="R17" i="20" s="1"/>
  <c r="E74" i="13" s="1"/>
  <c r="G12" i="20"/>
  <c r="G14" i="20"/>
  <c r="F13" i="20"/>
  <c r="F14" i="20" s="1"/>
  <c r="M13" i="20"/>
  <c r="M14" i="20"/>
  <c r="F20" i="20"/>
  <c r="R20" i="20"/>
  <c r="G11" i="19"/>
  <c r="G20" i="19"/>
  <c r="H20" i="19"/>
  <c r="K24" i="19"/>
  <c r="M30" i="19"/>
  <c r="K25" i="19"/>
  <c r="K26" i="19"/>
  <c r="K27" i="19"/>
  <c r="K28" i="19"/>
  <c r="K29" i="19"/>
  <c r="O34" i="19"/>
  <c r="B4" i="1"/>
  <c r="B35" i="1"/>
  <c r="B36" i="1"/>
  <c r="B37" i="1"/>
  <c r="E51" i="1"/>
  <c r="G51" i="1" s="1"/>
  <c r="H4" i="2" s="1"/>
  <c r="E52" i="1"/>
  <c r="G52" i="1" s="1"/>
  <c r="H8" i="2" s="1"/>
  <c r="E53" i="1"/>
  <c r="G53" i="1" s="1"/>
  <c r="H12" i="2" s="1"/>
  <c r="E54" i="1"/>
  <c r="G54" i="1" s="1"/>
  <c r="H16" i="2" s="1"/>
  <c r="E55" i="1"/>
  <c r="G55" i="1" s="1"/>
  <c r="H20" i="2" s="1"/>
  <c r="E56" i="1"/>
  <c r="G56" i="1" s="1"/>
  <c r="H24" i="2" s="1"/>
  <c r="E57" i="1"/>
  <c r="G57" i="1" s="1"/>
  <c r="H28" i="2" s="1"/>
  <c r="E58" i="1"/>
  <c r="G58" i="1" s="1"/>
  <c r="H32" i="2" s="1"/>
  <c r="B59" i="1"/>
  <c r="E59" i="1"/>
  <c r="G59" i="1" s="1"/>
  <c r="H40" i="2" s="1"/>
  <c r="B60" i="1"/>
  <c r="E60" i="1"/>
  <c r="G60" i="1" s="1"/>
  <c r="H44" i="2" s="1"/>
  <c r="B61" i="1"/>
  <c r="E61" i="1"/>
  <c r="G61" i="1" s="1"/>
  <c r="H48" i="2" s="1"/>
  <c r="B75" i="1"/>
  <c r="B76" i="1"/>
  <c r="B77" i="1"/>
  <c r="B84" i="1"/>
  <c r="B90" i="1"/>
  <c r="D4" i="2"/>
  <c r="D8" i="2"/>
  <c r="D12" i="2"/>
  <c r="D16" i="2"/>
  <c r="D20" i="2"/>
  <c r="D24" i="2"/>
  <c r="D28" i="2"/>
  <c r="D32" i="2"/>
  <c r="D36" i="2"/>
  <c r="B40" i="2"/>
  <c r="D40" i="2"/>
  <c r="B44" i="2"/>
  <c r="D44" i="2"/>
  <c r="B48" i="2"/>
  <c r="D48" i="2"/>
  <c r="D90" i="2"/>
  <c r="H90" i="2"/>
  <c r="D94" i="2"/>
  <c r="H94" i="2"/>
  <c r="D98" i="2"/>
  <c r="H98" i="2"/>
  <c r="D102" i="2"/>
  <c r="H102" i="2"/>
  <c r="D106" i="2"/>
  <c r="H106" i="2"/>
  <c r="D110" i="2"/>
  <c r="H110" i="2"/>
  <c r="D114" i="2"/>
  <c r="H114" i="2"/>
  <c r="D118" i="2"/>
  <c r="H118" i="2"/>
  <c r="B122" i="2"/>
  <c r="D122" i="2"/>
  <c r="H122" i="2"/>
  <c r="B126" i="2"/>
  <c r="D126" i="2"/>
  <c r="H126" i="2"/>
  <c r="B130" i="2"/>
  <c r="D130" i="2"/>
  <c r="H130" i="2"/>
  <c r="M68" i="2"/>
  <c r="M78" i="2"/>
  <c r="M164" i="2"/>
  <c r="M165" i="2"/>
  <c r="M166" i="2"/>
  <c r="L189" i="2"/>
  <c r="E58" i="13" s="1"/>
  <c r="M2" i="12" s="1"/>
  <c r="O192" i="2"/>
  <c r="L192" i="2" s="1"/>
  <c r="E59" i="13" s="1"/>
  <c r="O193" i="2"/>
  <c r="L193" i="2" s="1"/>
  <c r="E60" i="13" s="1"/>
  <c r="E12" i="13"/>
  <c r="E24" i="13"/>
  <c r="B58" i="13"/>
  <c r="B61" i="13"/>
  <c r="B62" i="13"/>
  <c r="H6" i="17"/>
  <c r="J6" i="17" s="1"/>
  <c r="E25" i="17"/>
  <c r="E26" i="17" s="1"/>
  <c r="C68" i="27"/>
  <c r="F25" i="7"/>
  <c r="H7" i="7"/>
  <c r="J7" i="7" s="1"/>
  <c r="M179" i="2"/>
  <c r="E46" i="13" s="1"/>
  <c r="M180" i="2"/>
  <c r="L180" i="2" s="1"/>
  <c r="M76" i="2"/>
  <c r="E22" i="13" s="1"/>
  <c r="D22" i="13" s="1"/>
  <c r="M64" i="2"/>
  <c r="M66" i="2"/>
  <c r="E10" i="13" s="1"/>
  <c r="D10" i="13" s="1"/>
  <c r="M74" i="2"/>
  <c r="M170" i="2"/>
  <c r="L170" i="2" s="1"/>
  <c r="M171" i="2"/>
  <c r="L171" i="2" s="1"/>
  <c r="M32" i="29"/>
  <c r="O32" i="29"/>
  <c r="N32" i="29"/>
  <c r="M39" i="29"/>
  <c r="N31" i="29"/>
  <c r="L41" i="29"/>
  <c r="L30" i="29"/>
  <c r="O31" i="29"/>
  <c r="M33" i="29"/>
  <c r="N36" i="29"/>
  <c r="L38" i="29"/>
  <c r="O39" i="29"/>
  <c r="M41" i="29"/>
  <c r="K43" i="29"/>
  <c r="K41" i="29"/>
  <c r="M30" i="29"/>
  <c r="K32" i="29"/>
  <c r="N33" i="29"/>
  <c r="K40" i="29"/>
  <c r="O41" i="29"/>
  <c r="L43" i="29"/>
  <c r="K29" i="29"/>
  <c r="L31" i="29"/>
  <c r="M31" i="29"/>
  <c r="K33" i="29"/>
  <c r="O37" i="29"/>
  <c r="M35" i="29"/>
  <c r="K37" i="29"/>
  <c r="M43" i="29"/>
  <c r="N35" i="29"/>
  <c r="L37" i="29"/>
  <c r="N43" i="29"/>
  <c r="L26" i="29"/>
  <c r="O25" i="29"/>
  <c r="K25" i="29"/>
  <c r="L27" i="29"/>
  <c r="N24" i="29"/>
  <c r="M25" i="29"/>
  <c r="O27" i="29"/>
  <c r="M24" i="29"/>
  <c r="K24" i="29"/>
  <c r="N23" i="29"/>
  <c r="K27" i="29"/>
  <c r="L23" i="29"/>
  <c r="M26" i="29"/>
  <c r="N28" i="29"/>
  <c r="L24" i="29"/>
  <c r="O23" i="29"/>
  <c r="O26" i="29"/>
  <c r="K26" i="29"/>
  <c r="K23" i="29"/>
  <c r="N21" i="29"/>
  <c r="O21" i="29"/>
  <c r="L21" i="29"/>
  <c r="K22" i="29"/>
  <c r="L22" i="29"/>
  <c r="M22" i="29"/>
  <c r="O20" i="29"/>
  <c r="N20" i="29"/>
  <c r="K20" i="29"/>
  <c r="L20" i="29"/>
  <c r="L19" i="29"/>
  <c r="O19" i="29"/>
  <c r="K19" i="29"/>
  <c r="M19" i="29"/>
  <c r="K44" i="29" l="1"/>
  <c r="D6" i="19"/>
  <c r="F25" i="17"/>
  <c r="L39" i="29"/>
  <c r="N44" i="29"/>
  <c r="O29" i="29"/>
  <c r="M29" i="29"/>
  <c r="N39" i="29"/>
  <c r="G13" i="29"/>
  <c r="N40" i="29"/>
  <c r="D9" i="19" s="1"/>
  <c r="O22" i="29"/>
  <c r="L40" i="29"/>
  <c r="M17" i="20"/>
  <c r="E73" i="13" s="1"/>
  <c r="H20" i="17"/>
  <c r="I15" i="17" s="1"/>
  <c r="K19" i="17" s="1"/>
  <c r="K32" i="17" s="1"/>
  <c r="K45" i="17" s="1"/>
  <c r="N45" i="17" s="1"/>
  <c r="N42" i="29"/>
  <c r="L29" i="29"/>
  <c r="L44" i="29" s="1"/>
  <c r="M38" i="29"/>
  <c r="D8" i="19" s="1"/>
  <c r="L35" i="29"/>
  <c r="H20" i="7"/>
  <c r="F7" i="20"/>
  <c r="F17" i="20" s="1"/>
  <c r="E72" i="13" s="1"/>
  <c r="E24" i="17"/>
  <c r="E27" i="17" s="1"/>
  <c r="L34" i="17" s="1"/>
  <c r="L35" i="17" s="1"/>
  <c r="I18" i="7"/>
  <c r="I17" i="7"/>
  <c r="I16" i="7"/>
  <c r="I15" i="7"/>
  <c r="K19" i="7" s="1"/>
  <c r="H6" i="7"/>
  <c r="J6" i="7" s="1"/>
  <c r="K11" i="7" s="1"/>
  <c r="L173" i="2"/>
  <c r="E42" i="13"/>
  <c r="I2" i="12" s="1"/>
  <c r="I18" i="17"/>
  <c r="K11" i="17"/>
  <c r="L74" i="2"/>
  <c r="L64" i="2"/>
  <c r="D115" i="2"/>
  <c r="F115" i="2" s="1"/>
  <c r="D96" i="2"/>
  <c r="F96" i="2" s="1"/>
  <c r="H104" i="2"/>
  <c r="J104" i="2" s="1"/>
  <c r="H123" i="2"/>
  <c r="J123" i="2" s="1"/>
  <c r="H124" i="2"/>
  <c r="J124" i="2" s="1"/>
  <c r="H108" i="2"/>
  <c r="J108" i="2" s="1"/>
  <c r="D7" i="2"/>
  <c r="F7" i="2" s="1"/>
  <c r="H27" i="2"/>
  <c r="J27" i="2" s="1"/>
  <c r="H41" i="2"/>
  <c r="J41" i="2" s="1"/>
  <c r="D35" i="2"/>
  <c r="F35" i="2" s="1"/>
  <c r="D39" i="2"/>
  <c r="F39" i="2" s="1"/>
  <c r="L39" i="2" s="1"/>
  <c r="H22" i="2"/>
  <c r="J22" i="2" s="1"/>
  <c r="D31" i="2"/>
  <c r="F31" i="2" s="1"/>
  <c r="D111" i="2"/>
  <c r="F111" i="2" s="1"/>
  <c r="H127" i="2"/>
  <c r="J127" i="2" s="1"/>
  <c r="H131" i="2"/>
  <c r="J131" i="2" s="1"/>
  <c r="H117" i="2"/>
  <c r="J117" i="2" s="1"/>
  <c r="H10" i="2"/>
  <c r="J10" i="2" s="1"/>
  <c r="D128" i="2"/>
  <c r="F128" i="2" s="1"/>
  <c r="H139" i="2"/>
  <c r="J139" i="2" s="1"/>
  <c r="H103" i="2"/>
  <c r="J103" i="2" s="1"/>
  <c r="H113" i="2"/>
  <c r="J113" i="2" s="1"/>
  <c r="H107" i="2"/>
  <c r="J107" i="2" s="1"/>
  <c r="D103" i="2"/>
  <c r="F103" i="2" s="1"/>
  <c r="D107" i="2"/>
  <c r="F107" i="2" s="1"/>
  <c r="D108" i="2"/>
  <c r="F108" i="2" s="1"/>
  <c r="D41" i="2"/>
  <c r="F41" i="2" s="1"/>
  <c r="D140" i="2"/>
  <c r="F140" i="2" s="1"/>
  <c r="D23" i="2"/>
  <c r="F23" i="2" s="1"/>
  <c r="H132" i="2"/>
  <c r="J132" i="2" s="1"/>
  <c r="L65" i="2"/>
  <c r="D132" i="2"/>
  <c r="F132" i="2" s="1"/>
  <c r="H137" i="2"/>
  <c r="J137" i="2" s="1"/>
  <c r="H17" i="2"/>
  <c r="J17" i="2" s="1"/>
  <c r="D136" i="2"/>
  <c r="F136" i="2" s="1"/>
  <c r="D14" i="2"/>
  <c r="F14" i="2" s="1"/>
  <c r="H46" i="2"/>
  <c r="J46" i="2" s="1"/>
  <c r="H92" i="2"/>
  <c r="J92" i="2" s="1"/>
  <c r="D119" i="2"/>
  <c r="F119" i="2" s="1"/>
  <c r="H140" i="2"/>
  <c r="J140" i="2" s="1"/>
  <c r="D15" i="2"/>
  <c r="F15" i="2" s="1"/>
  <c r="H112" i="2"/>
  <c r="J112" i="2" s="1"/>
  <c r="D135" i="2"/>
  <c r="F135" i="2" s="1"/>
  <c r="H25" i="2"/>
  <c r="J25" i="2" s="1"/>
  <c r="H13" i="2"/>
  <c r="J13" i="2" s="1"/>
  <c r="H91" i="2"/>
  <c r="J91" i="2" s="1"/>
  <c r="D123" i="2"/>
  <c r="F123" i="2" s="1"/>
  <c r="H141" i="2"/>
  <c r="J141" i="2" s="1"/>
  <c r="H58" i="2"/>
  <c r="H34" i="2"/>
  <c r="J34" i="2" s="1"/>
  <c r="E20" i="13"/>
  <c r="D20" i="13" s="1"/>
  <c r="E21" i="13"/>
  <c r="J135" i="2"/>
  <c r="E40" i="13"/>
  <c r="D40" i="13" s="1"/>
  <c r="V2" i="12"/>
  <c r="C63" i="27"/>
  <c r="E39" i="13"/>
  <c r="D39" i="13" s="1"/>
  <c r="D19" i="2"/>
  <c r="F19" i="2" s="1"/>
  <c r="D34" i="2"/>
  <c r="F34" i="2" s="1"/>
  <c r="D121" i="2"/>
  <c r="F121" i="2" s="1"/>
  <c r="H57" i="2"/>
  <c r="D37" i="2"/>
  <c r="F37" i="2" s="1"/>
  <c r="L37" i="2" s="1"/>
  <c r="E6" i="13" s="1"/>
  <c r="H54" i="2"/>
  <c r="D59" i="2"/>
  <c r="F59" i="2" s="1"/>
  <c r="D11" i="2"/>
  <c r="F11" i="2" s="1"/>
  <c r="D46" i="2"/>
  <c r="F46" i="2" s="1"/>
  <c r="H14" i="2"/>
  <c r="J14" i="2" s="1"/>
  <c r="H119" i="2"/>
  <c r="J119" i="2" s="1"/>
  <c r="L76" i="2"/>
  <c r="D25" i="2"/>
  <c r="F25" i="2" s="1"/>
  <c r="H26" i="2"/>
  <c r="J26" i="2" s="1"/>
  <c r="H21" i="2"/>
  <c r="J21" i="2" s="1"/>
  <c r="H99" i="2"/>
  <c r="J99" i="2" s="1"/>
  <c r="H109" i="2"/>
  <c r="J109" i="2" s="1"/>
  <c r="D95" i="2"/>
  <c r="F95" i="2" s="1"/>
  <c r="D113" i="2"/>
  <c r="F113" i="2" s="1"/>
  <c r="H59" i="2"/>
  <c r="D127" i="2"/>
  <c r="F127" i="2" s="1"/>
  <c r="H133" i="2"/>
  <c r="J133" i="2" s="1"/>
  <c r="H115" i="2"/>
  <c r="J115" i="2" s="1"/>
  <c r="D47" i="2"/>
  <c r="F47" i="2" s="1"/>
  <c r="D22" i="2"/>
  <c r="F22" i="2" s="1"/>
  <c r="H53" i="2"/>
  <c r="D45" i="2"/>
  <c r="F45" i="2" s="1"/>
  <c r="D42" i="2"/>
  <c r="F42" i="2" s="1"/>
  <c r="H125" i="2"/>
  <c r="J125" i="2" s="1"/>
  <c r="D43" i="2"/>
  <c r="F43" i="2" s="1"/>
  <c r="H6" i="2"/>
  <c r="J6" i="2" s="1"/>
  <c r="D104" i="2"/>
  <c r="F104" i="2" s="1"/>
  <c r="W2" i="12"/>
  <c r="C62" i="27"/>
  <c r="D163" i="2"/>
  <c r="H42" i="2"/>
  <c r="J42" i="2" s="1"/>
  <c r="D51" i="2"/>
  <c r="F51" i="2" s="1"/>
  <c r="D18" i="2"/>
  <c r="F18" i="2" s="1"/>
  <c r="H128" i="2"/>
  <c r="J128" i="2" s="1"/>
  <c r="H43" i="2"/>
  <c r="J43" i="2" s="1"/>
  <c r="D54" i="2"/>
  <c r="F54" i="2" s="1"/>
  <c r="H116" i="2"/>
  <c r="J116" i="2" s="1"/>
  <c r="D124" i="2"/>
  <c r="F124" i="2" s="1"/>
  <c r="H47" i="2"/>
  <c r="J47" i="2" s="1"/>
  <c r="D26" i="2"/>
  <c r="F26" i="2" s="1"/>
  <c r="H97" i="2"/>
  <c r="J97" i="2" s="1"/>
  <c r="D21" i="2"/>
  <c r="F21" i="2" s="1"/>
  <c r="D92" i="2"/>
  <c r="F92" i="2" s="1"/>
  <c r="H100" i="2"/>
  <c r="J100" i="2" s="1"/>
  <c r="D125" i="2"/>
  <c r="F125" i="2" s="1"/>
  <c r="D6" i="2"/>
  <c r="F6" i="2" s="1"/>
  <c r="D53" i="2"/>
  <c r="F53" i="2" s="1"/>
  <c r="H49" i="2"/>
  <c r="J49" i="2" s="1"/>
  <c r="D29" i="2"/>
  <c r="F29" i="2" s="1"/>
  <c r="H93" i="2"/>
  <c r="J93" i="2" s="1"/>
  <c r="M27" i="20"/>
  <c r="J163" i="2" s="1"/>
  <c r="H161" i="2"/>
  <c r="D33" i="2"/>
  <c r="F33" i="2" s="1"/>
  <c r="H50" i="2"/>
  <c r="J50" i="2" s="1"/>
  <c r="D57" i="2"/>
  <c r="F57" i="2" s="1"/>
  <c r="D105" i="2"/>
  <c r="F105" i="2" s="1"/>
  <c r="D120" i="2"/>
  <c r="F120" i="2" s="1"/>
  <c r="H95" i="2"/>
  <c r="J95" i="2" s="1"/>
  <c r="D112" i="2"/>
  <c r="F112" i="2" s="1"/>
  <c r="H55" i="2"/>
  <c r="D117" i="2"/>
  <c r="F117" i="2" s="1"/>
  <c r="H11" i="2"/>
  <c r="J11" i="2" s="1"/>
  <c r="D129" i="2"/>
  <c r="F129" i="2" s="1"/>
  <c r="H136" i="2"/>
  <c r="J136" i="2" s="1"/>
  <c r="H31" i="2"/>
  <c r="J31" i="2" s="1"/>
  <c r="H105" i="2"/>
  <c r="J105" i="2" s="1"/>
  <c r="D97" i="2"/>
  <c r="F97" i="2" s="1"/>
  <c r="D99" i="2"/>
  <c r="F99" i="2" s="1"/>
  <c r="D30" i="2"/>
  <c r="F30" i="2" s="1"/>
  <c r="H7" i="2"/>
  <c r="J7" i="2" s="1"/>
  <c r="D58" i="2"/>
  <c r="F58" i="2" s="1"/>
  <c r="H30" i="2"/>
  <c r="J30" i="2" s="1"/>
  <c r="D5" i="2"/>
  <c r="F5" i="2" s="1"/>
  <c r="H111" i="2"/>
  <c r="J111" i="2" s="1"/>
  <c r="D137" i="2"/>
  <c r="F137" i="2" s="1"/>
  <c r="H121" i="2"/>
  <c r="J121" i="2" s="1"/>
  <c r="L66" i="2"/>
  <c r="H23" i="2"/>
  <c r="J23" i="2" s="1"/>
  <c r="H129" i="2"/>
  <c r="J129" i="2" s="1"/>
  <c r="H9" i="2"/>
  <c r="J9" i="2" s="1"/>
  <c r="D100" i="2"/>
  <c r="F100" i="2" s="1"/>
  <c r="H5" i="2"/>
  <c r="J5" i="2" s="1"/>
  <c r="H33" i="2"/>
  <c r="J33" i="2" s="1"/>
  <c r="D55" i="2"/>
  <c r="F55" i="2" s="1"/>
  <c r="H35" i="2"/>
  <c r="J35" i="2" s="1"/>
  <c r="D38" i="2"/>
  <c r="F38" i="2" s="1"/>
  <c r="L38" i="2" s="1"/>
  <c r="D93" i="2"/>
  <c r="F93" i="2" s="1"/>
  <c r="D91" i="2"/>
  <c r="F91" i="2" s="1"/>
  <c r="H15" i="2"/>
  <c r="J15" i="2" s="1"/>
  <c r="D141" i="2"/>
  <c r="F141" i="2" s="1"/>
  <c r="H19" i="2"/>
  <c r="J19" i="2" s="1"/>
  <c r="H96" i="2"/>
  <c r="J96" i="2" s="1"/>
  <c r="H51" i="2"/>
  <c r="J51" i="2" s="1"/>
  <c r="D109" i="2"/>
  <c r="F109" i="2" s="1"/>
  <c r="D13" i="2"/>
  <c r="F13" i="2" s="1"/>
  <c r="D116" i="2"/>
  <c r="F116" i="2" s="1"/>
  <c r="H29" i="2"/>
  <c r="J29" i="2" s="1"/>
  <c r="H18" i="2"/>
  <c r="J18" i="2" s="1"/>
  <c r="D131" i="2"/>
  <c r="F131" i="2" s="1"/>
  <c r="H45" i="2"/>
  <c r="J45" i="2" s="1"/>
  <c r="H120" i="2"/>
  <c r="J120" i="2" s="1"/>
  <c r="D49" i="2"/>
  <c r="F49" i="2" s="1"/>
  <c r="D139" i="2"/>
  <c r="F139" i="2" s="1"/>
  <c r="D133" i="2"/>
  <c r="F133" i="2" s="1"/>
  <c r="D10" i="2"/>
  <c r="F10" i="2" s="1"/>
  <c r="D17" i="2"/>
  <c r="F17" i="2" s="1"/>
  <c r="D50" i="2"/>
  <c r="F50" i="2" s="1"/>
  <c r="D101" i="2"/>
  <c r="F101" i="2" s="1"/>
  <c r="H101" i="2"/>
  <c r="J101" i="2" s="1"/>
  <c r="D27" i="2"/>
  <c r="F27" i="2" s="1"/>
  <c r="D9" i="2"/>
  <c r="F9" i="2" s="1"/>
  <c r="G14" i="29"/>
  <c r="G12" i="29"/>
  <c r="O55" i="29"/>
  <c r="F19" i="19" s="1"/>
  <c r="O53" i="29"/>
  <c r="F18" i="19" s="1"/>
  <c r="O51" i="29"/>
  <c r="H52" i="2"/>
  <c r="N2" i="12"/>
  <c r="E8" i="13"/>
  <c r="D8" i="13" s="1"/>
  <c r="E47" i="13"/>
  <c r="L179" i="2"/>
  <c r="H56" i="2"/>
  <c r="E7" i="19" l="1"/>
  <c r="J7" i="19" s="1"/>
  <c r="L7" i="19" s="1"/>
  <c r="G8" i="29"/>
  <c r="E9" i="19"/>
  <c r="J9" i="19" s="1"/>
  <c r="L9" i="19" s="1"/>
  <c r="G10" i="29"/>
  <c r="M44" i="29"/>
  <c r="O44" i="29"/>
  <c r="D7" i="19"/>
  <c r="O57" i="29" s="1"/>
  <c r="I16" i="17"/>
  <c r="G7" i="29"/>
  <c r="E6" i="19"/>
  <c r="O58" i="29"/>
  <c r="I17" i="17"/>
  <c r="D10" i="19"/>
  <c r="K32" i="7"/>
  <c r="M32" i="7" s="1"/>
  <c r="N41" i="7" s="1"/>
  <c r="N42" i="7" s="1"/>
  <c r="L32" i="7"/>
  <c r="K44" i="17"/>
  <c r="L32" i="17"/>
  <c r="M32" i="17"/>
  <c r="N41" i="17" s="1"/>
  <c r="N42" i="17" s="1"/>
  <c r="N44" i="17" s="1"/>
  <c r="N47" i="17" s="1"/>
  <c r="N52" i="17" s="1"/>
  <c r="L178" i="2" s="1"/>
  <c r="L34" i="2"/>
  <c r="L7" i="2"/>
  <c r="L15" i="2"/>
  <c r="L23" i="2"/>
  <c r="L22" i="2"/>
  <c r="L35" i="2"/>
  <c r="L14" i="2"/>
  <c r="L51" i="2"/>
  <c r="L13" i="2"/>
  <c r="L46" i="2"/>
  <c r="J144" i="2"/>
  <c r="L41" i="2"/>
  <c r="L42" i="2"/>
  <c r="L31" i="2"/>
  <c r="L19" i="2"/>
  <c r="D47" i="13"/>
  <c r="L33" i="2"/>
  <c r="M63" i="2"/>
  <c r="E7" i="13" s="1"/>
  <c r="F62" i="27"/>
  <c r="L47" i="2"/>
  <c r="L50" i="2"/>
  <c r="L6" i="2"/>
  <c r="N6" i="2"/>
  <c r="L11" i="2"/>
  <c r="J143" i="2"/>
  <c r="L17" i="2"/>
  <c r="L9" i="2"/>
  <c r="L43" i="2"/>
  <c r="L25" i="2"/>
  <c r="L30" i="2"/>
  <c r="L45" i="2"/>
  <c r="L29" i="2"/>
  <c r="M73" i="2"/>
  <c r="E18" i="13"/>
  <c r="F144" i="2"/>
  <c r="L21" i="2"/>
  <c r="L5" i="2"/>
  <c r="L10" i="2"/>
  <c r="L18" i="2"/>
  <c r="L27" i="2"/>
  <c r="L26" i="2"/>
  <c r="J145" i="2"/>
  <c r="F143" i="2"/>
  <c r="L49" i="2"/>
  <c r="F145" i="2"/>
  <c r="O59" i="29"/>
  <c r="F15" i="19"/>
  <c r="F20" i="19" s="1"/>
  <c r="N5" i="2"/>
  <c r="M67" i="2" s="1"/>
  <c r="E11" i="13" s="1"/>
  <c r="J53" i="2"/>
  <c r="L53" i="2" s="1"/>
  <c r="J54" i="2"/>
  <c r="L54" i="2" s="1"/>
  <c r="J55" i="2"/>
  <c r="L55" i="2" s="1"/>
  <c r="J58" i="2"/>
  <c r="L58" i="2" s="1"/>
  <c r="J57" i="2"/>
  <c r="L57" i="2" s="1"/>
  <c r="J59" i="2"/>
  <c r="L59" i="2" s="1"/>
  <c r="E10" i="19" l="1"/>
  <c r="J10" i="19" s="1"/>
  <c r="L10" i="19" s="1"/>
  <c r="G11" i="29"/>
  <c r="E8" i="19"/>
  <c r="J8" i="19" s="1"/>
  <c r="L8" i="19" s="1"/>
  <c r="G9" i="29"/>
  <c r="J6" i="19"/>
  <c r="L6" i="19" s="1"/>
  <c r="K44" i="7"/>
  <c r="N44" i="7" s="1"/>
  <c r="K45" i="7"/>
  <c r="N45" i="7" s="1"/>
  <c r="C65" i="27"/>
  <c r="L147" i="2"/>
  <c r="C51" i="27" s="1"/>
  <c r="M77" i="2"/>
  <c r="E23" i="13"/>
  <c r="L148" i="2"/>
  <c r="C52" i="27" s="1"/>
  <c r="L63" i="2"/>
  <c r="M82" i="2"/>
  <c r="L84" i="2" s="1"/>
  <c r="L62" i="2"/>
  <c r="L72" i="2"/>
  <c r="E19" i="13"/>
  <c r="L73" i="2"/>
  <c r="O2" i="12"/>
  <c r="D7" i="13"/>
  <c r="L149" i="2"/>
  <c r="C54" i="27" s="1"/>
  <c r="L152" i="2"/>
  <c r="E29" i="13" s="1"/>
  <c r="N47" i="7" l="1"/>
  <c r="N52" i="7" s="1"/>
  <c r="M11" i="19"/>
  <c r="E11" i="19"/>
  <c r="L70" i="2"/>
  <c r="M190" i="2"/>
  <c r="L80" i="2"/>
  <c r="C66" i="27"/>
  <c r="E45" i="13"/>
  <c r="L177" i="2"/>
  <c r="M181" i="2" s="1"/>
  <c r="E48" i="13" s="1"/>
  <c r="E16" i="13"/>
  <c r="C49" i="27"/>
  <c r="E28" i="13"/>
  <c r="E31" i="13" s="1"/>
  <c r="K2" i="12" s="1"/>
  <c r="C53" i="27"/>
  <c r="F49" i="27" s="1"/>
  <c r="L151" i="2"/>
  <c r="E17" i="13" s="1"/>
  <c r="C50" i="27"/>
  <c r="E4" i="13"/>
  <c r="P2" i="12"/>
  <c r="D19" i="13"/>
  <c r="F57" i="27" l="1"/>
  <c r="C57" i="27" s="1"/>
  <c r="J20" i="19"/>
  <c r="E26" i="13"/>
  <c r="D14" i="28" s="1"/>
  <c r="F25" i="28" s="1"/>
  <c r="E50" i="13"/>
  <c r="L183" i="2"/>
  <c r="L86" i="2"/>
  <c r="L154" i="2" s="1"/>
  <c r="E5" i="13"/>
  <c r="E14" i="13" s="1"/>
  <c r="D12" i="28"/>
  <c r="G23" i="28" s="1"/>
  <c r="K18" i="19" l="1"/>
  <c r="K16" i="19"/>
  <c r="K15" i="19"/>
  <c r="M19" i="19" s="1"/>
  <c r="M32" i="19" s="1"/>
  <c r="K17" i="19"/>
  <c r="L190" i="2"/>
  <c r="E61" i="13"/>
  <c r="B2" i="12"/>
  <c r="E33" i="13"/>
  <c r="E23" i="28"/>
  <c r="F23" i="28"/>
  <c r="E25" i="28"/>
  <c r="G25" i="28"/>
  <c r="O32" i="19" l="1"/>
  <c r="N32" i="19"/>
  <c r="E70" i="13"/>
  <c r="E69" i="13"/>
  <c r="A2" i="12"/>
  <c r="D13" i="28"/>
  <c r="G24" i="28" s="1"/>
  <c r="C2" i="12"/>
  <c r="L2" i="12"/>
  <c r="Q25" i="20"/>
  <c r="L25" i="20"/>
  <c r="L26" i="20"/>
  <c r="E25" i="20"/>
  <c r="Q26" i="20"/>
  <c r="E26" i="20"/>
  <c r="F26" i="20" l="1"/>
  <c r="F161" i="2" s="1"/>
  <c r="D161" i="2"/>
  <c r="R26" i="20"/>
  <c r="F168" i="2" s="1"/>
  <c r="D162" i="2"/>
  <c r="D160" i="2"/>
  <c r="M26" i="20"/>
  <c r="J161" i="2" s="1"/>
  <c r="H160" i="2"/>
  <c r="H162" i="2"/>
  <c r="D168" i="2"/>
  <c r="D167" i="2"/>
  <c r="O35" i="19"/>
  <c r="E71" i="13"/>
  <c r="O38" i="19"/>
  <c r="M21" i="20" s="1"/>
  <c r="M22" i="20" s="1"/>
  <c r="M25" i="20" s="1"/>
  <c r="M191" i="2"/>
  <c r="M172" i="2"/>
  <c r="E41" i="13" s="1"/>
  <c r="S2" i="12" s="1"/>
  <c r="E24" i="28"/>
  <c r="F24" i="28"/>
  <c r="R21" i="20" l="1"/>
  <c r="R22" i="20" s="1"/>
  <c r="R25" i="20" s="1"/>
  <c r="J160" i="2"/>
  <c r="F21" i="20"/>
  <c r="F22" i="20" s="1"/>
  <c r="F25" i="20" s="1"/>
  <c r="F28" i="20" s="1"/>
  <c r="F162" i="2"/>
  <c r="J162" i="2"/>
  <c r="F160" i="2"/>
  <c r="M28" i="20"/>
  <c r="L160" i="2" l="1"/>
  <c r="E36" i="13" s="1"/>
  <c r="L162" i="2"/>
  <c r="M34" i="20"/>
  <c r="C59" i="27"/>
  <c r="C58" i="27"/>
  <c r="F34" i="20"/>
  <c r="R28" i="20"/>
  <c r="F167" i="2"/>
  <c r="L167" i="2" s="1"/>
  <c r="J62" i="13"/>
  <c r="E37" i="13" l="1"/>
  <c r="R34" i="20"/>
  <c r="F36" i="20" s="1"/>
  <c r="M169" i="2"/>
  <c r="C60" i="27"/>
  <c r="E62" i="13"/>
  <c r="L191" i="2"/>
  <c r="L194" i="2"/>
  <c r="E38" i="13" l="1"/>
  <c r="L169" i="2"/>
  <c r="L174" i="2"/>
  <c r="L185" i="2" s="1"/>
  <c r="L196" i="2" s="1"/>
  <c r="E66" i="13" s="1"/>
  <c r="U2" i="12" s="1"/>
  <c r="R2" i="12"/>
  <c r="E64" i="13"/>
  <c r="E43" i="13" l="1"/>
  <c r="E52" i="13" s="1"/>
  <c r="Q2" i="12"/>
  <c r="D38" i="13"/>
  <c r="E54" i="13" l="1"/>
  <c r="T2" i="12" s="1"/>
  <c r="G22" i="28"/>
  <c r="G27" i="28" s="1"/>
  <c r="F22" i="28"/>
  <c r="F27" i="28" s="1"/>
  <c r="E22" i="28"/>
  <c r="E27" i="28" s="1"/>
  <c r="D11" i="28"/>
  <c r="D16" i="28" s="1"/>
  <c r="J2" i="12"/>
  <c r="G32" i="28" l="1"/>
  <c r="G33" i="28"/>
  <c r="G35" i="2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Giovanni Sacco</author>
    <author>Manuel Maffeis</author>
  </authors>
  <commentList>
    <comment ref="C160" authorId="0" shapeId="0" xr:uid="{00000000-0006-0000-0200-000001000000}">
      <text>
        <r>
          <rPr>
            <sz val="9"/>
            <color indexed="81"/>
            <rFont val="Tahoma"/>
            <family val="2"/>
          </rPr>
          <t>Corrisponde a: Superficie complessiva x (Costo base di costruzione + maggiorazione)</t>
        </r>
      </text>
    </comment>
    <comment ref="D160" authorId="1" shapeId="0" xr:uid="{00000000-0006-0000-0200-000002000000}">
      <text>
        <r>
          <rPr>
            <sz val="9"/>
            <color indexed="81"/>
            <rFont val="Tahoma"/>
            <family val="2"/>
          </rPr>
          <t>Aliquota in riferimento alla classe dell'edificio</t>
        </r>
      </text>
    </comment>
    <comment ref="G160" authorId="0" shapeId="0" xr:uid="{00000000-0006-0000-0200-000003000000}">
      <text>
        <r>
          <rPr>
            <sz val="9"/>
            <color indexed="81"/>
            <rFont val="Tahoma"/>
            <family val="2"/>
          </rPr>
          <t>Corrisponde a: Superficie complessiva x (Costo base di costruzione + maggiorazione)</t>
        </r>
      </text>
    </comment>
    <comment ref="H160" authorId="1" shapeId="0" xr:uid="{00000000-0006-0000-0200-000004000000}">
      <text>
        <r>
          <rPr>
            <sz val="9"/>
            <color indexed="81"/>
            <rFont val="Tahoma"/>
            <family val="2"/>
          </rPr>
          <t>Aliquota in riferimento alla classe dell'edificio</t>
        </r>
      </text>
    </comment>
    <comment ref="F161" authorId="0" shapeId="0" xr:uid="{00000000-0006-0000-0200-000005000000}">
      <text>
        <r>
          <rPr>
            <sz val="9"/>
            <color indexed="81"/>
            <rFont val="Tahoma"/>
            <family val="2"/>
          </rPr>
          <t xml:space="preserve">Considera il computo metrico definito nel foglio "Costo Costruzione" </t>
        </r>
      </text>
    </comment>
    <comment ref="J161" authorId="0" shapeId="0" xr:uid="{00000000-0006-0000-0200-000006000000}">
      <text>
        <r>
          <rPr>
            <sz val="9"/>
            <color indexed="81"/>
            <rFont val="Tahoma"/>
            <family val="2"/>
          </rPr>
          <t xml:space="preserve">Considera il computo metrico definito nel foglio "Costo Costruzione" </t>
        </r>
      </text>
    </comment>
    <comment ref="C162" authorId="0" shapeId="0" xr:uid="{00000000-0006-0000-0200-000007000000}">
      <text>
        <r>
          <rPr>
            <sz val="9"/>
            <color indexed="81"/>
            <rFont val="Tahoma"/>
            <family val="2"/>
          </rPr>
          <t>Corrisponde a: Superficie complessiva x (Costo base di costruzione + maggiorazione)</t>
        </r>
      </text>
    </comment>
    <comment ref="D162" authorId="0" shapeId="0" xr:uid="{00000000-0006-0000-0200-000008000000}">
      <text>
        <r>
          <rPr>
            <sz val="9"/>
            <color indexed="81"/>
            <rFont val="Tahoma"/>
            <family val="2"/>
          </rPr>
          <t>Aliquota in riferimento alla classe dell'edificio</t>
        </r>
      </text>
    </comment>
    <comment ref="G162" authorId="0" shapeId="0" xr:uid="{00000000-0006-0000-0200-000009000000}">
      <text>
        <r>
          <rPr>
            <sz val="9"/>
            <color indexed="81"/>
            <rFont val="Tahoma"/>
            <family val="2"/>
          </rPr>
          <t>Corrisponde a: Superficie complessiva x (Costo base di costruzione + maggiorazione)</t>
        </r>
      </text>
    </comment>
    <comment ref="H162" authorId="0" shapeId="0" xr:uid="{00000000-0006-0000-0200-00000A000000}">
      <text>
        <r>
          <rPr>
            <sz val="9"/>
            <color indexed="81"/>
            <rFont val="Tahoma"/>
            <family val="2"/>
          </rPr>
          <t>Aliquota in riferimento alla classe dell'edificio</t>
        </r>
      </text>
    </comment>
    <comment ref="C163" authorId="0" shapeId="0" xr:uid="{00000000-0006-0000-0200-00000B000000}">
      <text>
        <r>
          <rPr>
            <sz val="9"/>
            <color indexed="81"/>
            <rFont val="Tahoma"/>
            <family val="2"/>
          </rPr>
          <t>Computo metrico</t>
        </r>
      </text>
    </comment>
    <comment ref="F163" authorId="0" shapeId="0" xr:uid="{00000000-0006-0000-0200-00000C000000}">
      <text>
        <r>
          <rPr>
            <sz val="9"/>
            <color indexed="81"/>
            <rFont val="Tahoma"/>
            <family val="2"/>
          </rPr>
          <t xml:space="preserve">Considera il computo metrico definito nel foglio "Costo Costruzione" </t>
        </r>
      </text>
    </comment>
    <comment ref="J163" authorId="0" shapeId="0" xr:uid="{00000000-0006-0000-0200-00000D000000}">
      <text>
        <r>
          <rPr>
            <sz val="9"/>
            <color indexed="81"/>
            <rFont val="Tahoma"/>
            <family val="2"/>
          </rPr>
          <t xml:space="preserve">Considera il computo metrico definito nel foglio "Costo Costruzione" </t>
        </r>
      </text>
    </comment>
    <comment ref="C164" authorId="0" shapeId="0" xr:uid="{00000000-0006-0000-0200-00000E000000}">
      <text>
        <r>
          <rPr>
            <sz val="9"/>
            <color indexed="81"/>
            <rFont val="Tahoma"/>
            <family val="2"/>
          </rPr>
          <t>Computo metrico</t>
        </r>
      </text>
    </comment>
    <comment ref="F164" authorId="0" shapeId="0" xr:uid="{00000000-0006-0000-0200-00000F000000}">
      <text>
        <r>
          <rPr>
            <sz val="9"/>
            <color indexed="81"/>
            <rFont val="Tahoma"/>
            <family val="2"/>
          </rPr>
          <t xml:space="preserve">Considera il computo metrico definito nel foglio "dati generali" </t>
        </r>
      </text>
    </comment>
    <comment ref="C165" authorId="0" shapeId="0" xr:uid="{00000000-0006-0000-0200-000010000000}">
      <text>
        <r>
          <rPr>
            <sz val="9"/>
            <color indexed="81"/>
            <rFont val="Tahoma"/>
            <family val="2"/>
          </rPr>
          <t>Computo metrico</t>
        </r>
      </text>
    </comment>
    <comment ref="F165" authorId="0" shapeId="0" xr:uid="{00000000-0006-0000-0200-000011000000}">
      <text>
        <r>
          <rPr>
            <sz val="9"/>
            <color indexed="81"/>
            <rFont val="Tahoma"/>
            <family val="2"/>
          </rPr>
          <t xml:space="preserve">Considera il computo metrico definito nel foglio "dati generali" </t>
        </r>
      </text>
    </comment>
    <comment ref="C166" authorId="0" shapeId="0" xr:uid="{00000000-0006-0000-0200-000012000000}">
      <text>
        <r>
          <rPr>
            <sz val="9"/>
            <color indexed="81"/>
            <rFont val="Tahoma"/>
            <family val="2"/>
          </rPr>
          <t>Computo metrico</t>
        </r>
      </text>
    </comment>
    <comment ref="F166" authorId="0" shapeId="0" xr:uid="{00000000-0006-0000-0200-000013000000}">
      <text>
        <r>
          <rPr>
            <sz val="9"/>
            <color indexed="81"/>
            <rFont val="Tahoma"/>
            <family val="2"/>
          </rPr>
          <t xml:space="preserve">Considera il computo metrico definito nel foglio "dati generali" </t>
        </r>
      </text>
    </comment>
    <comment ref="C167" authorId="0" shapeId="0" xr:uid="{00000000-0006-0000-0200-000014000000}">
      <text>
        <r>
          <rPr>
            <sz val="9"/>
            <color indexed="81"/>
            <rFont val="Tahoma"/>
            <family val="2"/>
          </rPr>
          <t>Corrisponde a: Suprficie complessiva x (Costo base di costruzione + maggiorazione)</t>
        </r>
      </text>
    </comment>
    <comment ref="D167" authorId="0" shapeId="0" xr:uid="{00000000-0006-0000-0200-000015000000}">
      <text>
        <r>
          <rPr>
            <sz val="9"/>
            <color indexed="81"/>
            <rFont val="Tahoma"/>
            <family val="2"/>
          </rPr>
          <t>Aliquota in riferimento alla classe dell'edificio</t>
        </r>
      </text>
    </comment>
    <comment ref="F168" authorId="0" shapeId="0" xr:uid="{00000000-0006-0000-0200-000016000000}">
      <text>
        <r>
          <rPr>
            <sz val="9"/>
            <color indexed="81"/>
            <rFont val="Tahoma"/>
            <family val="2"/>
          </rPr>
          <t xml:space="preserve">Considera il computo metrico definito nel foglio "Costo Costruzione"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Giovanni Sacco</author>
    <author>Manuel Maffeis</author>
  </authors>
  <commentList>
    <comment ref="B3" authorId="0" shapeId="0" xr:uid="{00000000-0006-0000-0300-000001000000}">
      <text>
        <r>
          <rPr>
            <sz val="9"/>
            <color indexed="81"/>
            <rFont val="Tahoma"/>
            <family val="2"/>
          </rPr>
          <t>Decreto interministeriale 2 aprile 1968, n. 1444, articolo 2</t>
        </r>
      </text>
    </comment>
    <comment ref="B5" authorId="1" shapeId="0" xr:uid="{00000000-0006-0000-0300-000002000000}">
      <text>
        <r>
          <rPr>
            <sz val="9"/>
            <color indexed="81"/>
            <rFont val="Tahoma"/>
            <family val="2"/>
          </rPr>
          <t>Determina il pagamento di un'oblazione corrispondente al doppio del contributo di costruzione dovuto ai sensi dell'</t>
        </r>
        <r>
          <rPr>
            <b/>
            <sz val="9"/>
            <color indexed="81"/>
            <rFont val="Tahoma"/>
            <family val="2"/>
          </rPr>
          <t>art. 36, comma 2, del DPR 380/2001</t>
        </r>
      </text>
    </comment>
    <comment ref="B6" authorId="0" shapeId="0" xr:uid="{00000000-0006-0000-0300-000003000000}">
      <text>
        <r>
          <rPr>
            <sz val="9"/>
            <color indexed="81"/>
            <rFont val="Tahoma"/>
            <family val="2"/>
          </rPr>
          <t>In base all'</t>
        </r>
        <r>
          <rPr>
            <b/>
            <sz val="9"/>
            <color indexed="81"/>
            <rFont val="Tahoma"/>
            <family val="2"/>
          </rPr>
          <t>art. 37 del DPR 380/2001</t>
        </r>
        <r>
          <rPr>
            <sz val="9"/>
            <color indexed="81"/>
            <rFont val="Tahoma"/>
            <family val="2"/>
          </rPr>
          <t>, il responsabile dell'abuso o il proprietario dell'immobile possono ottenere la sanatoria dell'intervento versando la somma non superiore a 516€ o 10329€ e non inferiore a 516€.
Allo stesso modo, in base all'articolo 6 dello stesso Decreto di legge, la mancata comunicazione dell'inizio dei lavori ovvero la mancata trasmissione della relazione tecnica, di cui ai commi 2 e 4 del presente articolo, comportano la sanzione pecuniaria pari a 258€. Tale sanzione è ridotta di due terzi se la comunicazione è effettuata spontaneamente quando l'intervento è in corso di esecuzione</t>
        </r>
      </text>
    </comment>
    <comment ref="B7" authorId="0" shapeId="0" xr:uid="{00000000-0006-0000-0300-000004000000}">
      <text>
        <r>
          <rPr>
            <sz val="9"/>
            <color indexed="81"/>
            <rFont val="Tahoma"/>
            <family val="2"/>
          </rPr>
          <t>Nei casi di edilizia convenzionata, relativa anche a edifici esistenti, il contributo afferente al permesso di costruire è ridotto alla sola quota degli oneri di urbanizzazione.</t>
        </r>
      </text>
    </comment>
    <comment ref="B8" authorId="0" shapeId="0" xr:uid="{00000000-0006-0000-0300-000005000000}">
      <text>
        <r>
          <rPr>
            <sz val="9"/>
            <color indexed="81"/>
            <rFont val="Tahoma"/>
            <family val="2"/>
          </rPr>
          <t xml:space="preserve">La </t>
        </r>
        <r>
          <rPr>
            <b/>
            <sz val="9"/>
            <color indexed="81"/>
            <rFont val="Tahoma"/>
            <family val="2"/>
          </rPr>
          <t>Legge Regionale 13/2009</t>
        </r>
        <r>
          <rPr>
            <sz val="9"/>
            <color indexed="81"/>
            <rFont val="Tahoma"/>
            <family val="2"/>
          </rPr>
          <t xml:space="preserve"> è applicabile agli edifici parzialmente residenziali e a quelli non residenziali ubicati in zone a prevalente destinazione residenziale. Le nuove costruzioni dovranno avere un uso esclusivamente residenziale, senza poter beneficiare dei premi volumetrici.
La legge regionale individua quattro tipologie di intervento:
1. Recupero e riutilizzo di volumetrie abbandonate e sottoutilizzate.
2. Ampliamento fino al 20% (e comunque per non più di 300 metri cubi) del volume complessivo di edifici mono e bifamiliari, ovvero di edifici almeno tri-familiari con volumetria non superiore a 1.000 metri cubi.
3. Demolizione e ricostruzione di edifici residenziali e produttivi, con bonus volumetrico sino al 30% del volume preesistente, aumentabile al 35% in presenza di adeguate dotazioni di verde, cioè una dotazione arborea che copra almeno il 25% del lotto.
4. Riqualificazione di quartieri di edilizia residenziale pubblica.
Il piano casa Lombardia stabilisce la facoltà per i Comuni di ridurre gli oneri di urbanizzazione e il contributo sul costo della costruzione. Ove i Comuni non avessero deliberato entro il 15 ottobre 2009, si applicherà una riduzione del 30% del contributo di costruzione. Nel caso di edilizia residenziale pubblica in locazione il contributo di costruzione è limitato agli oneri di urbanizzazione, ridotti del 50%.</t>
        </r>
        <r>
          <rPr>
            <b/>
            <sz val="9"/>
            <color indexed="81"/>
            <rFont val="Tahoma"/>
            <family val="2"/>
          </rPr>
          <t xml:space="preserve">
Implica l'applicazione di una riduzione percentuale degli oneri di urbanizzazione o del costo di costruzione o di entrambi</t>
        </r>
      </text>
    </comment>
    <comment ref="B9" authorId="0" shapeId="0" xr:uid="{00000000-0006-0000-0300-000006000000}">
      <text>
        <r>
          <rPr>
            <b/>
            <sz val="9"/>
            <color indexed="81"/>
            <rFont val="Tahoma"/>
            <family val="2"/>
          </rPr>
          <t xml:space="preserve">Art. 44 L.R. 12/2005, comma 10bis.
</t>
        </r>
        <r>
          <rPr>
            <sz val="9"/>
            <color indexed="81"/>
            <rFont val="Tahoma"/>
            <family val="2"/>
          </rPr>
          <t>I comuni, nei casi di ristrutturazione comportante demolizione e ricostruzione ed in quelli di integrale sostituzione edilizia possono ridurre, in misura non inferiore al cinquanta percento, ove dovuti, i contributi per gli oneri di urbanizzazione primaria e secondaria.</t>
        </r>
      </text>
    </comment>
    <comment ref="B10" authorId="0" shapeId="0" xr:uid="{00000000-0006-0000-0300-000007000000}">
      <text>
        <r>
          <rPr>
            <b/>
            <sz val="9"/>
            <color indexed="81"/>
            <rFont val="Tahoma"/>
            <charset val="1"/>
          </rPr>
          <t xml:space="preserve">DPR 380/2001
Art. 17 (L) - Riduzione o esonero dal contributo di costruzione.
4-bis. </t>
        </r>
        <r>
          <rPr>
            <sz val="9"/>
            <color indexed="81"/>
            <rFont val="Tahoma"/>
            <family val="2"/>
          </rPr>
          <t>Al fine di agevolare gli interventi di densificazione edilizia, per la ristrutturazione, il recupero e il riuso degli immobili dismessi o in via di dismissione, il contributo di costruzione è ridotto in misura non inferiore al venti per cento rispetto a quello previsto per le nuove costruzioni. I comuni definiscono, entro novanta giorni dall'entrata in vigore della presente disposizione, i criteri e le modalità applicative per l'applicazione della relativa riduzione.</t>
        </r>
      </text>
    </comment>
    <comment ref="B11" authorId="0" shapeId="0" xr:uid="{00000000-0006-0000-0300-000008000000}">
      <text>
        <r>
          <rPr>
            <b/>
            <sz val="9"/>
            <color indexed="81"/>
            <rFont val="Tahoma"/>
            <family val="2"/>
          </rPr>
          <t>Legge Regionale del 28-11-2014, n. 31
Art. 5, comma 10</t>
        </r>
        <r>
          <rPr>
            <sz val="9"/>
            <color indexed="81"/>
            <rFont val="Tahoma"/>
            <family val="2"/>
          </rPr>
          <t xml:space="preserve">
Fino all'adeguamento di cui al comma 3, viene prevista una maggiorazione percentuale del contributo relativo al costo di costruzione ... così determinata:
</t>
        </r>
        <r>
          <rPr>
            <b/>
            <sz val="9"/>
            <color indexed="81"/>
            <rFont val="Tahoma"/>
            <family val="2"/>
          </rPr>
          <t>a)</t>
        </r>
        <r>
          <rPr>
            <sz val="9"/>
            <color indexed="81"/>
            <rFont val="Tahoma"/>
            <family val="2"/>
          </rPr>
          <t xml:space="preserve"> entro un minimo del </t>
        </r>
        <r>
          <rPr>
            <b/>
            <sz val="9"/>
            <color indexed="81"/>
            <rFont val="Tahoma"/>
            <family val="2"/>
          </rPr>
          <t>venti</t>
        </r>
        <r>
          <rPr>
            <sz val="9"/>
            <color indexed="81"/>
            <rFont val="Tahoma"/>
            <family val="2"/>
          </rPr>
          <t xml:space="preserve"> ed un massimo del </t>
        </r>
        <r>
          <rPr>
            <b/>
            <sz val="9"/>
            <color indexed="81"/>
            <rFont val="Tahoma"/>
            <family val="2"/>
          </rPr>
          <t>trenta</t>
        </r>
        <r>
          <rPr>
            <sz val="9"/>
            <color indexed="81"/>
            <rFont val="Tahoma"/>
            <family val="2"/>
          </rPr>
          <t xml:space="preserve"> per cento, determinata dai comuni, per gli interventi che consumano suolo agricolo nello stato di fatto non ricompresi nel tessuto urbano consolidato; 
</t>
        </r>
        <r>
          <rPr>
            <b/>
            <sz val="9"/>
            <color indexed="81"/>
            <rFont val="Tahoma"/>
            <family val="2"/>
          </rPr>
          <t>b)</t>
        </r>
        <r>
          <rPr>
            <sz val="9"/>
            <color indexed="81"/>
            <rFont val="Tahoma"/>
            <family val="2"/>
          </rPr>
          <t xml:space="preserve"> pari alla aliquota del </t>
        </r>
        <r>
          <rPr>
            <b/>
            <sz val="9"/>
            <color indexed="81"/>
            <rFont val="Tahoma"/>
            <family val="2"/>
          </rPr>
          <t>cinque</t>
        </r>
        <r>
          <rPr>
            <sz val="9"/>
            <color indexed="81"/>
            <rFont val="Tahoma"/>
            <family val="2"/>
          </rPr>
          <t xml:space="preserve"> per cento, per gli interventi che consumano suolo agricolo nello stato di fatto all'interno del tessuto urbano consolidato; 
</t>
        </r>
        <r>
          <rPr>
            <b/>
            <sz val="9"/>
            <color indexed="81"/>
            <rFont val="Tahoma"/>
            <family val="2"/>
          </rPr>
          <t>c)</t>
        </r>
        <r>
          <rPr>
            <sz val="9"/>
            <color indexed="81"/>
            <rFont val="Tahoma"/>
            <family val="2"/>
          </rPr>
          <t xml:space="preserve"> ...</t>
        </r>
      </text>
    </comment>
    <comment ref="B12" authorId="0" shapeId="0" xr:uid="{00000000-0006-0000-0300-000009000000}">
      <text>
        <r>
          <rPr>
            <sz val="9"/>
            <color indexed="81"/>
            <rFont val="Tahoma"/>
            <family val="2"/>
          </rPr>
          <t>L’amministrazione Comunale, al fine di incentivare gli interventi di edilizia bioclimatica o finalizzati al risparmio energetico, applica un meccanismo premiale sulla determinazione del Contributo di costruzione, avvalendosi delle facoltà ammesse dal disposto di cui all’</t>
        </r>
        <r>
          <rPr>
            <b/>
            <sz val="9"/>
            <color indexed="81"/>
            <rFont val="Tahoma"/>
            <family val="2"/>
          </rPr>
          <t>art. 12 della Legge regionale n.33 del 28/12/2007</t>
        </r>
        <r>
          <rPr>
            <sz val="9"/>
            <color indexed="81"/>
            <rFont val="Tahoma"/>
            <family val="2"/>
          </rPr>
          <t>, a integrazione della Legge Regionale 26/95.
In tal senso, qualora gli interventi garantissero una prestazione energetica minima del sistema edificio-impianto corrispondente alla classe A o superiore, i muri perimetrali portanti e di tamponamento, nonché i solai che costituiscono involucro esterno di nuove costruzioni e di ristrutturazioni soggette al rispetto dei limiti di fabbisogno di energia primaria o di trasmittanza termica, previsti dalle disposizioni regionali in materia di risparmio energetico, non sono considerati nei computi per la determinazione della superficie lorda di pavimento (s.l.p.), dei volumi e dei rapporti di copertura.
In sintesi, nel calcolo degli oneri di urbanizzazione dovuti, si fa riferimento al volume netto e non al lordo.</t>
        </r>
      </text>
    </comment>
    <comment ref="F46" authorId="0" shapeId="0" xr:uid="{00000000-0006-0000-0300-00000A000000}">
      <text>
        <r>
          <rPr>
            <sz val="9"/>
            <color indexed="81"/>
            <rFont val="Tahoma"/>
            <family val="2"/>
          </rPr>
          <t>Il valore percentuale dedotto dal rapporto tra la superficie complessiva del lotto e la superficie agricola sottratta nello stato di fatto, rappresenta a tutti gli effetti la maggiorazione da applicare all'importo del contributo di costruzione</t>
        </r>
      </text>
    </comment>
    <comment ref="B47" authorId="0" shapeId="0" xr:uid="{00000000-0006-0000-0300-00000B000000}">
      <text>
        <r>
          <rPr>
            <sz val="9"/>
            <color indexed="81"/>
            <rFont val="Tahoma"/>
            <family val="2"/>
          </rPr>
          <t>L.R. 12/2005 art.43 comma 2-bis. Gli interventi di nuova costruzione che sottraggono superfici agricole nello stato di fatto sono assoggettati ad una maggiorazione percentuale del contributo di costruzione, determinata dai comuni entro un minimo dell'1,5 ed un massimo del 5 per cento, da destinare obbligatoriamente a interventi forestali a rilevanza ecologica e di incremento della naturalità.
(comma introdotto dalla legge reg. n. 4 del 2008, poi così modificato dall'articolo 21 della legge reg. n. 7 del 2010).
In caso di realizzazione diretta delle opere di urbanizzazione, non è ammissibile lo scomputo relativamente alla quota della maggiorazione in argomento, che comunque deve essere versata integralmente.</t>
        </r>
        <r>
          <rPr>
            <b/>
            <sz val="9"/>
            <color indexed="81"/>
            <rFont val="Tahoma"/>
            <family val="2"/>
          </rPr>
          <t xml:space="preserve">
Implica l'applicazione di una maggiorazione percentuale del contributo di costruzione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Giovanni Sacco</author>
    <author>Manuel Maffeis</author>
  </authors>
  <commentList>
    <comment ref="D5" authorId="0" shapeId="0" xr:uid="{00000000-0006-0000-0500-000001000000}">
      <text>
        <r>
          <rPr>
            <sz val="9"/>
            <color indexed="81"/>
            <rFont val="Tahoma"/>
            <family val="2"/>
          </rPr>
          <t>Numero alloggi derivanti dalla compilazione del foglio</t>
        </r>
        <r>
          <rPr>
            <b/>
            <sz val="9"/>
            <color indexed="81"/>
            <rFont val="Tahoma"/>
            <family val="2"/>
          </rPr>
          <t xml:space="preserve"> "Calcolo superfici edificio"</t>
        </r>
      </text>
    </comment>
    <comment ref="E5" authorId="0" shapeId="0" xr:uid="{00000000-0006-0000-0500-000002000000}">
      <text>
        <r>
          <rPr>
            <sz val="9"/>
            <color indexed="81"/>
            <rFont val="Tahoma"/>
            <family val="2"/>
          </rPr>
          <t>S.u.a. derivanti dalla compilazione del foglio</t>
        </r>
        <r>
          <rPr>
            <b/>
            <sz val="9"/>
            <color indexed="81"/>
            <rFont val="Tahoma"/>
            <family val="2"/>
          </rPr>
          <t xml:space="preserve"> "Calcolo superfici edificio".
</t>
        </r>
        <r>
          <rPr>
            <sz val="9"/>
            <color indexed="81"/>
            <rFont val="Tahoma"/>
            <family val="2"/>
          </rPr>
          <t>Riguarda la superificie di pavimento degli alloggi misurata al netto di murature, pilastri, tramezzi, sguinci, vani di porte e finestre, di eventuali scale interne, di logge e balconi.</t>
        </r>
      </text>
    </comment>
    <comment ref="F5" authorId="0" shapeId="0" xr:uid="{00000000-0006-0000-0500-000003000000}">
      <text>
        <r>
          <rPr>
            <sz val="9"/>
            <color indexed="81"/>
            <rFont val="Tahoma"/>
            <family val="2"/>
          </rPr>
          <t xml:space="preserve">Compla questo campo solo nel caso in cui non si compili il foglio </t>
        </r>
        <r>
          <rPr>
            <b/>
            <sz val="9"/>
            <color indexed="81"/>
            <rFont val="Tahoma"/>
            <family val="2"/>
          </rPr>
          <t>"Calcolo superfici edificio"</t>
        </r>
      </text>
    </comment>
    <comment ref="G5" authorId="1" shapeId="0" xr:uid="{00000000-0006-0000-0500-000004000000}">
      <text>
        <r>
          <rPr>
            <sz val="9"/>
            <color indexed="81"/>
            <rFont val="Tahoma"/>
            <family val="2"/>
          </rPr>
          <t xml:space="preserve">Superficie utile abitabile in mq.
Riguarda la superificie di pavimento degli alloggi misurata al netto di murature, pilastri, tramezzi, sguinci, vani di porte e finestre, di eventuali scale interne, di logge e balconi.
</t>
        </r>
        <r>
          <rPr>
            <b/>
            <sz val="9"/>
            <color indexed="81"/>
            <rFont val="Tahoma"/>
            <family val="2"/>
          </rPr>
          <t>N.B.</t>
        </r>
        <r>
          <rPr>
            <sz val="9"/>
            <color indexed="81"/>
            <rFont val="Tahoma"/>
            <family val="2"/>
          </rPr>
          <t>: compila questo campo solo nel caso in cui non si compili il foglio "</t>
        </r>
        <r>
          <rPr>
            <b/>
            <sz val="9"/>
            <color indexed="81"/>
            <rFont val="Tahoma"/>
            <family val="2"/>
          </rPr>
          <t>Calcolo superfici edificio</t>
        </r>
        <r>
          <rPr>
            <sz val="9"/>
            <color indexed="81"/>
            <rFont val="Tahoma"/>
            <family val="2"/>
          </rPr>
          <t>"</t>
        </r>
      </text>
    </comment>
    <comment ref="F14" authorId="0" shapeId="0" xr:uid="{00000000-0006-0000-0500-000005000000}">
      <text>
        <r>
          <rPr>
            <sz val="9"/>
            <color indexed="81"/>
            <rFont val="Tahoma"/>
            <family val="2"/>
          </rPr>
          <t>Superficie non residenziale in mq. derivante dalla compilazione del foglio "</t>
        </r>
        <r>
          <rPr>
            <b/>
            <sz val="9"/>
            <color indexed="81"/>
            <rFont val="Tahoma"/>
            <family val="2"/>
          </rPr>
          <t>Calcolo superfici edificio</t>
        </r>
        <r>
          <rPr>
            <sz val="9"/>
            <color indexed="81"/>
            <rFont val="Tahoma"/>
            <family val="2"/>
          </rPr>
          <t>".
Le misurazioni vanno effettuate al netto di murature, pilastri e tramezzi, sguincie vani di porte e finestre</t>
        </r>
      </text>
    </comment>
    <comment ref="G14" authorId="0" shapeId="0" xr:uid="{00000000-0006-0000-0500-000006000000}">
      <text>
        <r>
          <rPr>
            <sz val="9"/>
            <color indexed="81"/>
            <rFont val="Tahoma"/>
            <family val="2"/>
          </rPr>
          <t xml:space="preserve">Superficie non residenziale in mq.
Le misurazioni vanno effettuate al netto di murature, pilastri e tramezzi, sguincie vani di porte e finestre.
</t>
        </r>
        <r>
          <rPr>
            <b/>
            <sz val="9"/>
            <color indexed="81"/>
            <rFont val="Tahoma"/>
            <family val="2"/>
          </rPr>
          <t>N.B.</t>
        </r>
        <r>
          <rPr>
            <sz val="9"/>
            <color indexed="81"/>
            <rFont val="Tahoma"/>
            <family val="2"/>
          </rPr>
          <t>: compila questo campo solo nel caso in cui non si compili il foglio "</t>
        </r>
        <r>
          <rPr>
            <b/>
            <sz val="9"/>
            <color indexed="81"/>
            <rFont val="Tahoma"/>
            <family val="2"/>
          </rPr>
          <t>Calcolo superfici edificio</t>
        </r>
        <r>
          <rPr>
            <sz val="9"/>
            <color indexed="81"/>
            <rFont val="Tahoma"/>
            <family val="2"/>
          </rPr>
          <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Manuel Maffeis</author>
  </authors>
  <commentList>
    <comment ref="E5" authorId="0" shapeId="0" xr:uid="{00000000-0006-0000-0700-000001000000}">
      <text>
        <r>
          <rPr>
            <sz val="9"/>
            <color indexed="81"/>
            <rFont val="Tahoma"/>
            <family val="2"/>
          </rPr>
          <t>Superficie utile abitabile in mq</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Manuel Maffeis</author>
  </authors>
  <commentList>
    <comment ref="E5" authorId="0" shapeId="0" xr:uid="{00000000-0006-0000-0800-000001000000}">
      <text>
        <r>
          <rPr>
            <sz val="9"/>
            <color indexed="81"/>
            <rFont val="Tahoma"/>
            <family val="2"/>
          </rPr>
          <t>Superficie utile abitabile in mq</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Giovanni Sacco</author>
  </authors>
  <commentList>
    <comment ref="A2" authorId="0" shapeId="0" xr:uid="{00000000-0006-0000-0900-000001000000}">
      <text>
        <r>
          <rPr>
            <sz val="9"/>
            <color indexed="81"/>
            <rFont val="Tahoma"/>
            <family val="2"/>
          </rPr>
          <t>l’art. 64, L.R. n.12/2005 dispone che gli interventi rivolti alla realizzazione di nuove unità immobiliari attraverso il recupero dei sottotetti comporti, allo stesso tempo, il reperimento di spazi per parcheggi. La misura dello standard a parcheggio deve rispettare il minimo di 1 m2 ogni 10 m3 della volumetria resa abitativa con un massimo di 25 m2 per ciascuna nuova unità immobiliare.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Giovanni Sacco</author>
  </authors>
  <commentList>
    <comment ref="D10" authorId="0" shapeId="0" xr:uid="{00000000-0006-0000-0A00-000001000000}">
      <text>
        <r>
          <rPr>
            <sz val="9"/>
            <color indexed="81"/>
            <rFont val="Tahoma"/>
            <family val="2"/>
          </rPr>
          <t xml:space="preserve">pari al 25% dell'importo complessivo previsto
</t>
        </r>
      </text>
    </comment>
    <comment ref="D18" authorId="0" shapeId="0" xr:uid="{00000000-0006-0000-0A00-000002000000}">
      <text>
        <r>
          <rPr>
            <sz val="9"/>
            <color indexed="81"/>
            <rFont val="Tahoma"/>
            <family val="2"/>
          </rPr>
          <t xml:space="preserve">Da pagare entro 30 giorni dalla data di protocollazione della domanda 
</t>
        </r>
      </text>
    </comment>
    <comment ref="E22" authorId="0" shapeId="0" xr:uid="{00000000-0006-0000-0A00-000003000000}">
      <text>
        <r>
          <rPr>
            <sz val="9"/>
            <color indexed="81"/>
            <rFont val="Tahoma"/>
            <family val="2"/>
          </rPr>
          <t>Corrispondente al 25% dell'importo totale previsto</t>
        </r>
      </text>
    </comment>
    <comment ref="F22" authorId="0" shapeId="0" xr:uid="{00000000-0006-0000-0A00-000004000000}">
      <text>
        <r>
          <rPr>
            <sz val="9"/>
            <color indexed="81"/>
            <rFont val="Tahoma"/>
            <family val="2"/>
          </rPr>
          <t>Corrispondente al 25% dell'importo totale previsto</t>
        </r>
      </text>
    </comment>
    <comment ref="G22" authorId="0" shapeId="0" xr:uid="{00000000-0006-0000-0A00-000005000000}">
      <text>
        <r>
          <rPr>
            <sz val="9"/>
            <color indexed="81"/>
            <rFont val="Tahoma"/>
            <family val="2"/>
          </rPr>
          <t>Corrispondente al 25% dell'importo totale previsto</t>
        </r>
      </text>
    </comment>
    <comment ref="E23" authorId="0" shapeId="0" xr:uid="{00000000-0006-0000-0A00-000006000000}">
      <text>
        <r>
          <rPr>
            <sz val="9"/>
            <color indexed="81"/>
            <rFont val="Tahoma"/>
            <family val="2"/>
          </rPr>
          <t>determinata dalla somma del 25% dell'importo complessivo previsto e degli interessi legali vigenti maturati in riferimento ai 180 giorni decorrenti dalla data di presentazione della domanda</t>
        </r>
      </text>
    </comment>
    <comment ref="F23" authorId="0" shapeId="0" xr:uid="{00000000-0006-0000-0A00-000007000000}">
      <text>
        <r>
          <rPr>
            <sz val="9"/>
            <color indexed="81"/>
            <rFont val="Tahoma"/>
            <family val="2"/>
          </rPr>
          <t>determinata dalla somma del 25% dell'importo complessivo previsto e degli interessi legali vigenti maturati in riferimento ai 360 giorni decorrenti dalla data di presentazione della domanda</t>
        </r>
      </text>
    </comment>
    <comment ref="G23" authorId="0" shapeId="0" xr:uid="{00000000-0006-0000-0A00-000008000000}">
      <text>
        <r>
          <rPr>
            <sz val="9"/>
            <color indexed="81"/>
            <rFont val="Tahoma"/>
            <family val="2"/>
          </rPr>
          <t>determinata dalla somma del 25% dell'importo complessivo previsto e degli interessi legali vigenti maturati in riferimento ai 540 giorni (18 mesi) decorrenti dalla data di presentazione della domanda</t>
        </r>
      </text>
    </comment>
    <comment ref="E24" authorId="0" shapeId="0" xr:uid="{00000000-0006-0000-0A00-000009000000}">
      <text>
        <r>
          <rPr>
            <sz val="9"/>
            <color indexed="81"/>
            <rFont val="Tahoma"/>
            <family val="2"/>
          </rPr>
          <t>determinata dalla somma del 25% dell'importo complessivo previsto e degli interessi legali vigenti maturati in riferimento ai 180 giorni decorrenti dalla data di presentazione della domanda</t>
        </r>
      </text>
    </comment>
    <comment ref="F24" authorId="0" shapeId="0" xr:uid="{00000000-0006-0000-0A00-00000A000000}">
      <text>
        <r>
          <rPr>
            <sz val="9"/>
            <color indexed="81"/>
            <rFont val="Tahoma"/>
            <family val="2"/>
          </rPr>
          <t>determinata dalla somma del 25% dell'importo complessivo previsto e degli interessi legali vigenti maturati in riferimento ai 360 giorni decorrenti dalla data di presentazione della domanda</t>
        </r>
      </text>
    </comment>
    <comment ref="G24" authorId="0" shapeId="0" xr:uid="{00000000-0006-0000-0A00-00000B000000}">
      <text>
        <r>
          <rPr>
            <sz val="9"/>
            <color indexed="81"/>
            <rFont val="Tahoma"/>
            <family val="2"/>
          </rPr>
          <t>determinata dalla somma del 25% dell'importo complessivo previsto e degli interessi legali vigenti maturati in riferimento ai 540 giorni (18 mesi) decorrenti dalla data di presentazione della domanda</t>
        </r>
      </text>
    </comment>
    <comment ref="E25" authorId="0" shapeId="0" xr:uid="{00000000-0006-0000-0A00-00000C000000}">
      <text>
        <r>
          <rPr>
            <sz val="9"/>
            <color indexed="81"/>
            <rFont val="Tahoma"/>
            <family val="2"/>
          </rPr>
          <t>determinata dalla somma del 25% dell'importo complessivo previsto e degli interessi legali vigenti maturati in riferimento ai 180 giorni decorrenti dalla data di presentazione della domanda</t>
        </r>
      </text>
    </comment>
    <comment ref="F25" authorId="0" shapeId="0" xr:uid="{00000000-0006-0000-0A00-00000D000000}">
      <text>
        <r>
          <rPr>
            <sz val="9"/>
            <color indexed="81"/>
            <rFont val="Tahoma"/>
            <family val="2"/>
          </rPr>
          <t>determinata dalla somma del 25% dell'importo complessivo previsto e degli interessi legali vigenti maturati in riferimento ai 360 giorni decorrenti dalla data di presentazione della domanda</t>
        </r>
      </text>
    </comment>
    <comment ref="G25" authorId="0" shapeId="0" xr:uid="{00000000-0006-0000-0A00-00000E000000}">
      <text>
        <r>
          <rPr>
            <sz val="9"/>
            <color indexed="81"/>
            <rFont val="Tahoma"/>
            <family val="2"/>
          </rPr>
          <t>determinata dalla somma del 25% dell'importo complessivo previsto e degli interessi legali vigenti maturati in riferimento ai 540 giorni (18 mesi) decorrenti dalla data di presentazione della domanda</t>
        </r>
      </text>
    </comment>
    <comment ref="E29" authorId="0" shapeId="0" xr:uid="{00000000-0006-0000-0A00-00000F000000}">
      <text>
        <r>
          <rPr>
            <sz val="9"/>
            <color indexed="81"/>
            <rFont val="Tahoma"/>
            <family val="2"/>
          </rPr>
          <t xml:space="preserve">Da pagare entro 180 giorni dalla data di protocollazione della domanda 
</t>
        </r>
      </text>
    </comment>
    <comment ref="F29" authorId="0" shapeId="0" xr:uid="{00000000-0006-0000-0A00-000010000000}">
      <text>
        <r>
          <rPr>
            <sz val="9"/>
            <color indexed="81"/>
            <rFont val="Tahoma"/>
            <family val="2"/>
          </rPr>
          <t xml:space="preserve">Da pagare entro 360 giorni dalla data di protocollazione della domanda </t>
        </r>
      </text>
    </comment>
    <comment ref="G29" authorId="0" shapeId="0" xr:uid="{00000000-0006-0000-0A00-000011000000}">
      <text>
        <r>
          <rPr>
            <sz val="9"/>
            <color indexed="81"/>
            <rFont val="Tahoma"/>
            <family val="2"/>
          </rPr>
          <t xml:space="preserve">Da pagare entro 540 giorni (18 mesi) dalla data di protocollazione della domanda </t>
        </r>
      </text>
    </comment>
    <comment ref="G33" authorId="0" shapeId="0" xr:uid="{00000000-0006-0000-0A00-000012000000}">
      <text>
        <r>
          <rPr>
            <sz val="9"/>
            <color indexed="81"/>
            <rFont val="Tahoma"/>
            <family val="2"/>
          </rPr>
          <t xml:space="preserve">corrisponde al 40% dell'importo complessivo da versare
</t>
        </r>
      </text>
    </comment>
    <comment ref="G37" authorId="0" shapeId="0" xr:uid="{00000000-0006-0000-0A00-000013000000}">
      <text>
        <r>
          <rPr>
            <sz val="9"/>
            <color indexed="81"/>
            <rFont val="Tahoma"/>
            <family val="2"/>
          </rPr>
          <t>Prevedere una scadenza che corrisponde ad aggiungere ulteriori 18 mesi alla data di scadenza dell'ultima rata</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Giovanni Sacco</author>
    <author>Manuel Maffeis</author>
    <author>Marco Vallino</author>
  </authors>
  <commentList>
    <comment ref="B52" authorId="0" shapeId="0" xr:uid="{00000000-0006-0000-0B00-000001000000}">
      <text>
        <r>
          <rPr>
            <sz val="9"/>
            <color indexed="81"/>
            <rFont val="Tahoma"/>
            <family val="2"/>
          </rPr>
          <t>Definire il codice univoco di classificazione delle aree normative di riferimento per il calcolo degli oneri di urbanizzazione</t>
        </r>
      </text>
    </comment>
    <comment ref="C52" authorId="0" shapeId="0" xr:uid="{00000000-0006-0000-0B00-000002000000}">
      <text>
        <r>
          <rPr>
            <sz val="9"/>
            <color indexed="81"/>
            <rFont val="Tahoma"/>
            <family val="2"/>
          </rPr>
          <t>Definire la denominazione relativa a ciascuna area normativa come da vigente piano urbanistico.
Tale denominazione comparirà nel foglio "Descrizione dell'intervento" in corrispondenza dell'area normativa selezionata</t>
        </r>
      </text>
    </comment>
    <comment ref="C71" authorId="0" shapeId="0" xr:uid="{00000000-0006-0000-0B00-000003000000}">
      <text>
        <r>
          <rPr>
            <sz val="9"/>
            <color indexed="81"/>
            <rFont val="Tahoma"/>
            <family val="2"/>
          </rPr>
          <t>Elenco descrittivo di default delle destinazioni d'uso.
La denominazione è personalizzabile e le variazioni apportate saranno applicate in tutte le parti del foglio di calcolo in cui sono riscontrabili</t>
        </r>
      </text>
    </comment>
    <comment ref="C87" authorId="0" shapeId="0" xr:uid="{00000000-0006-0000-0B00-000004000000}">
      <text>
        <r>
          <rPr>
            <sz val="9"/>
            <color indexed="81"/>
            <rFont val="Tahoma"/>
            <family val="2"/>
          </rPr>
          <t>La denominazione è personalizzabile e le variazioni apportate saranno applicate in tutte le parti del foglio di calcolo in cui sono riscontrabili</t>
        </r>
      </text>
    </comment>
    <comment ref="E87" authorId="0" shapeId="0" xr:uid="{00000000-0006-0000-0B00-000005000000}">
      <text>
        <r>
          <rPr>
            <sz val="9"/>
            <color indexed="81"/>
            <rFont val="Tahoma"/>
            <family val="2"/>
          </rPr>
          <t>Importo unitario (€ al mq)</t>
        </r>
      </text>
    </comment>
    <comment ref="C95" authorId="0" shapeId="0" xr:uid="{00000000-0006-0000-0B00-000006000000}">
      <text>
        <r>
          <rPr>
            <sz val="9"/>
            <color indexed="81"/>
            <rFont val="Tahoma"/>
            <family val="2"/>
          </rPr>
          <t>La denominazione è personalizzabile e le variazioni apportate saranno applicate in tutte le parti del foglio di calcolo in cui sono riscontrabili</t>
        </r>
      </text>
    </comment>
    <comment ref="E95" authorId="0" shapeId="0" xr:uid="{00000000-0006-0000-0B00-000007000000}">
      <text>
        <r>
          <rPr>
            <sz val="9"/>
            <color indexed="81"/>
            <rFont val="Tahoma"/>
            <family val="2"/>
          </rPr>
          <t>Importo unitario (€ al mq)</t>
        </r>
      </text>
    </comment>
    <comment ref="B118" authorId="1" shapeId="0" xr:uid="{00000000-0006-0000-0B00-000008000000}">
      <text>
        <r>
          <rPr>
            <b/>
            <sz val="9"/>
            <color indexed="81"/>
            <rFont val="Tahoma"/>
            <family val="2"/>
          </rPr>
          <t>Legge Regionale del 11-03-2005, n. 12 
Art. 44, comma 10bis.</t>
        </r>
        <r>
          <rPr>
            <sz val="9"/>
            <color indexed="81"/>
            <rFont val="Tahoma"/>
            <family val="2"/>
          </rPr>
          <t xml:space="preserve">
I comuni, nei casi di ristrutturazione comportante demolizione e ricostruzione ed in quelli di integrale sostituzione edilizia possono ridurre, in misura non inferiore al cinquanta percento, ove dovuti, i contributi per gli oneri di urbanizzazione primaria e secondaria.</t>
        </r>
      </text>
    </comment>
    <comment ref="B122" authorId="0" shapeId="0" xr:uid="{00000000-0006-0000-0B00-000009000000}">
      <text>
        <r>
          <rPr>
            <b/>
            <sz val="9"/>
            <color indexed="81"/>
            <rFont val="Tahoma"/>
            <family val="2"/>
          </rPr>
          <t>Legge Regionale del 11-03-2005, n. 12 
art.43 comma 2-bis.</t>
        </r>
        <r>
          <rPr>
            <sz val="9"/>
            <color indexed="81"/>
            <rFont val="Tahoma"/>
            <family val="2"/>
          </rPr>
          <t xml:space="preserve"> Gli interventi di nuova costruzione che sottraggono superfici agricole nello stato di fatto sono assoggettati ad una maggiorazione percentuale del contributo di costruzione, determinata dai comuni entro un minimo dell'1,5 ed un massimo del 5 per cento, da destinare obbligatoriamente a interventi forestali a rilevanza ecologica e di incremento della naturalità.
(comma introdotto dalla legge reg. n. 4 del 2008, poi così modificato dall'articolo 21 della legge reg. n. 7 del 2010)</t>
        </r>
        <r>
          <rPr>
            <b/>
            <sz val="9"/>
            <color indexed="81"/>
            <rFont val="Tahoma"/>
            <family val="2"/>
          </rPr>
          <t xml:space="preserve">
</t>
        </r>
        <r>
          <rPr>
            <b/>
            <i/>
            <sz val="9"/>
            <color indexed="81"/>
            <rFont val="Tahoma"/>
            <family val="2"/>
          </rPr>
          <t>Implica l'applicazione di una maggiorazione percentuale del contributo di costruzione</t>
        </r>
      </text>
    </comment>
    <comment ref="B123" authorId="2" shapeId="0" xr:uid="{00000000-0006-0000-0B00-00000A000000}">
      <text>
        <r>
          <rPr>
            <sz val="8"/>
            <color indexed="81"/>
            <rFont val="Tahoma"/>
            <family val="2"/>
          </rPr>
          <t>Inserire un valore compreso tra 1,5 e 5</t>
        </r>
      </text>
    </comment>
    <comment ref="B125" authorId="0" shapeId="0" xr:uid="{00000000-0006-0000-0B00-00000B000000}">
      <text>
        <r>
          <rPr>
            <b/>
            <sz val="9"/>
            <color indexed="81"/>
            <rFont val="Tahoma"/>
            <charset val="1"/>
          </rPr>
          <t xml:space="preserve">DPR 380/2001
Art. 17 (L) - Riduzione o esonero dal contributo di costruzione.
4-bis. </t>
        </r>
        <r>
          <rPr>
            <sz val="9"/>
            <color indexed="81"/>
            <rFont val="Tahoma"/>
            <family val="2"/>
          </rPr>
          <t>Al fine di agevolare gli interventi di densificazione edilizia, per la ristrutturazione, il recupero e il riuso degli immobili dismessi o in via di dismissione, il contributo di costruzione è ridotto in misura non inferiore al venti per cento rispetto a quello previsto per le nuove costruzioni. I comuni definiscono, entro novanta giorni dall'entrata in vigore della presente disposizione, i criteri e le modalità applicative per l'applicazione della relativa riduzione.</t>
        </r>
      </text>
    </comment>
    <comment ref="B129" authorId="0" shapeId="0" xr:uid="{00000000-0006-0000-0B00-00000C000000}">
      <text>
        <r>
          <rPr>
            <b/>
            <sz val="9"/>
            <color indexed="81"/>
            <rFont val="Tahoma"/>
            <family val="2"/>
          </rPr>
          <t xml:space="preserve">Legge Regionale del 28-11-2014, n. 31
Art. 5, comma 10
</t>
        </r>
        <r>
          <rPr>
            <sz val="9"/>
            <color indexed="81"/>
            <rFont val="Tahoma"/>
            <family val="2"/>
          </rPr>
          <t xml:space="preserve">Fino all'adeguamento di cui al comma 3, viene prevista una maggiorazione percentuale del contributo relativo al costo di costruzione ... così determinata:
</t>
        </r>
        <r>
          <rPr>
            <b/>
            <sz val="9"/>
            <color indexed="81"/>
            <rFont val="Tahoma"/>
            <family val="2"/>
          </rPr>
          <t>a)</t>
        </r>
        <r>
          <rPr>
            <sz val="9"/>
            <color indexed="81"/>
            <rFont val="Tahoma"/>
            <family val="2"/>
          </rPr>
          <t xml:space="preserve"> entro un minimo del </t>
        </r>
        <r>
          <rPr>
            <b/>
            <sz val="9"/>
            <color indexed="81"/>
            <rFont val="Tahoma"/>
            <family val="2"/>
          </rPr>
          <t>venti</t>
        </r>
        <r>
          <rPr>
            <sz val="9"/>
            <color indexed="81"/>
            <rFont val="Tahoma"/>
            <family val="2"/>
          </rPr>
          <t xml:space="preserve"> ed un massimo del </t>
        </r>
        <r>
          <rPr>
            <b/>
            <sz val="9"/>
            <color indexed="81"/>
            <rFont val="Tahoma"/>
            <family val="2"/>
          </rPr>
          <t>trenta</t>
        </r>
        <r>
          <rPr>
            <sz val="9"/>
            <color indexed="81"/>
            <rFont val="Tahoma"/>
            <family val="2"/>
          </rPr>
          <t xml:space="preserve"> per cento, determinata dai comuni, per gli interventi che consumano suolo agricolo nello stato di fatto non ricompresi nel tessuto urbano consolidato; 
</t>
        </r>
        <r>
          <rPr>
            <b/>
            <sz val="9"/>
            <color indexed="81"/>
            <rFont val="Tahoma"/>
            <family val="2"/>
          </rPr>
          <t>b)</t>
        </r>
        <r>
          <rPr>
            <sz val="9"/>
            <color indexed="81"/>
            <rFont val="Tahoma"/>
            <family val="2"/>
          </rPr>
          <t xml:space="preserve"> pari alla aliquota del </t>
        </r>
        <r>
          <rPr>
            <b/>
            <sz val="9"/>
            <color indexed="81"/>
            <rFont val="Tahoma"/>
            <family val="2"/>
          </rPr>
          <t>cinque</t>
        </r>
        <r>
          <rPr>
            <sz val="9"/>
            <color indexed="81"/>
            <rFont val="Tahoma"/>
            <family val="2"/>
          </rPr>
          <t xml:space="preserve"> per cento, per gli interventi che consumano suolo agricolo nello stato di fatto all'interno del tessuto urbano consolidato; 
</t>
        </r>
        <r>
          <rPr>
            <b/>
            <sz val="9"/>
            <color indexed="81"/>
            <rFont val="Tahoma"/>
            <family val="2"/>
          </rPr>
          <t>c)</t>
        </r>
        <r>
          <rPr>
            <sz val="9"/>
            <color indexed="81"/>
            <rFont val="Tahoma"/>
            <family val="2"/>
          </rPr>
          <t xml:space="preserve"> ...</t>
        </r>
      </text>
    </comment>
  </commentList>
</comments>
</file>

<file path=xl/sharedStrings.xml><?xml version="1.0" encoding="utf-8"?>
<sst xmlns="http://schemas.openxmlformats.org/spreadsheetml/2006/main" count="1198" uniqueCount="397">
  <si>
    <t>Ristrutturazione</t>
  </si>
  <si>
    <t>Residenziale</t>
  </si>
  <si>
    <t>=</t>
  </si>
  <si>
    <t xml:space="preserve"> =</t>
  </si>
  <si>
    <t>C.M.x</t>
  </si>
  <si>
    <t>Nuova edificazione</t>
  </si>
  <si>
    <t>E</t>
  </si>
  <si>
    <t>Minimo</t>
  </si>
  <si>
    <t>Maggiorazione</t>
  </si>
  <si>
    <t>I</t>
  </si>
  <si>
    <t>II</t>
  </si>
  <si>
    <t>III</t>
  </si>
  <si>
    <t>IV</t>
  </si>
  <si>
    <t>V</t>
  </si>
  <si>
    <t>VI</t>
  </si>
  <si>
    <t>VII</t>
  </si>
  <si>
    <t>VIII</t>
  </si>
  <si>
    <t>IX</t>
  </si>
  <si>
    <t>X</t>
  </si>
  <si>
    <t>XI</t>
  </si>
  <si>
    <t>%</t>
  </si>
  <si>
    <t>Tabella 1</t>
  </si>
  <si>
    <t>riservata</t>
  </si>
  <si>
    <t>Classi sup.</t>
  </si>
  <si>
    <t>all'ufficio</t>
  </si>
  <si>
    <t>Sua / Su</t>
  </si>
  <si>
    <t>i</t>
  </si>
  <si>
    <t>Increm.</t>
  </si>
  <si>
    <t>0</t>
  </si>
  <si>
    <t>&gt;110 &lt;=130</t>
  </si>
  <si>
    <t>&gt;130 &lt;=160</t>
  </si>
  <si>
    <t>&gt;160</t>
  </si>
  <si>
    <t>S.u. =</t>
  </si>
  <si>
    <t xml:space="preserve"> </t>
  </si>
  <si>
    <t>i1=</t>
  </si>
  <si>
    <t>Tabella 2</t>
  </si>
  <si>
    <t>Tabella 3</t>
  </si>
  <si>
    <t>S.n.r. mq</t>
  </si>
  <si>
    <t>Snr / Su</t>
  </si>
  <si>
    <t>I-II-III</t>
  </si>
  <si>
    <t>&gt;50&lt;= 75</t>
  </si>
  <si>
    <t>IV-V-VI-VII-VIII</t>
  </si>
  <si>
    <t>autorimesse</t>
  </si>
  <si>
    <t>&gt;75&lt;=100</t>
  </si>
  <si>
    <t>IX-X-XI</t>
  </si>
  <si>
    <t>androni e porticati liberi</t>
  </si>
  <si>
    <t>&gt;100</t>
  </si>
  <si>
    <t>commerciali</t>
  </si>
  <si>
    <t>logge e balconi</t>
  </si>
  <si>
    <t>Snr/Su x 100</t>
  </si>
  <si>
    <t>i2=</t>
  </si>
  <si>
    <t>turistiche</t>
  </si>
  <si>
    <t>S.n.r.  =</t>
  </si>
  <si>
    <t>direzionali</t>
  </si>
  <si>
    <t>Tabella 4</t>
  </si>
  <si>
    <t>parte RESIDENZIALE</t>
  </si>
  <si>
    <t>n. caratt.</t>
  </si>
  <si>
    <t>O</t>
  </si>
  <si>
    <t>caratteristiche di tabella 4</t>
  </si>
  <si>
    <t>o</t>
  </si>
  <si>
    <t>più di un ascensore per scala</t>
  </si>
  <si>
    <t>scala di servizio non prescritta</t>
  </si>
  <si>
    <t>altezze interne maggiori di 270</t>
  </si>
  <si>
    <t>alloggio custode per meno di 15 unità</t>
  </si>
  <si>
    <t>i3=</t>
  </si>
  <si>
    <t>parte COMMERCIO/TERZIARIO</t>
  </si>
  <si>
    <t>Classe</t>
  </si>
  <si>
    <t>i1+i2+i3= i=</t>
  </si>
  <si>
    <t>S.c. + S.t. = mq</t>
  </si>
  <si>
    <t xml:space="preserve"> (solo se S.t. &lt;= S.u. x 25 %)</t>
  </si>
  <si>
    <t>RESIDENZA</t>
  </si>
  <si>
    <t>TERZIARIO</t>
  </si>
  <si>
    <t>D) x aliquota</t>
  </si>
  <si>
    <t xml:space="preserve">                                                                                                                                                                                                                                                                                                            </t>
  </si>
  <si>
    <t>R) x aliquota</t>
  </si>
  <si>
    <t>T) x aliquota</t>
  </si>
  <si>
    <t>.</t>
  </si>
  <si>
    <t>Oneri di urbanizzazione</t>
  </si>
  <si>
    <t>Costo costruzione</t>
  </si>
  <si>
    <t>Massimo (compreso)</t>
  </si>
  <si>
    <t>Monetizzazione parcheggi</t>
  </si>
  <si>
    <t>primaria</t>
  </si>
  <si>
    <t>secondaria</t>
  </si>
  <si>
    <t>smaltimento rifiuti</t>
  </si>
  <si>
    <t>Smaltimento rifiuti</t>
  </si>
  <si>
    <r>
      <t>¦</t>
    </r>
    <r>
      <rPr>
        <sz val="9"/>
        <rFont val="Arial"/>
        <family val="2"/>
      </rPr>
      <t xml:space="preserve"> x</t>
    </r>
  </si>
  <si>
    <t>Industria alberghiera</t>
  </si>
  <si>
    <t>Altri costi</t>
  </si>
  <si>
    <t>U.I.</t>
  </si>
  <si>
    <t>CLASSE EDIFICIO</t>
  </si>
  <si>
    <t>meno di 50.000 abit</t>
  </si>
  <si>
    <t>Attrezzature sportive</t>
  </si>
  <si>
    <t>Attrezzature spettacolo</t>
  </si>
  <si>
    <t>Attrezzature culturali e sanitarie</t>
  </si>
  <si>
    <t>Maggiorazione urbanizzazione primaria sottotetti</t>
  </si>
  <si>
    <t>No</t>
  </si>
  <si>
    <t>Maggiorazione costo costruzione sottotetti</t>
  </si>
  <si>
    <t>Superficie di calcolo</t>
  </si>
  <si>
    <t>Superficie parcheggio</t>
  </si>
  <si>
    <t>Computo metrico</t>
  </si>
  <si>
    <t xml:space="preserve">Superficie da monetizzare </t>
  </si>
  <si>
    <t>Zona</t>
  </si>
  <si>
    <t>Denominazione</t>
  </si>
  <si>
    <t>D</t>
  </si>
  <si>
    <t>F</t>
  </si>
  <si>
    <t>Totale</t>
  </si>
  <si>
    <t>Monetizzazione aree standards</t>
  </si>
  <si>
    <t>Parcheggi, silos (posto auto)</t>
  </si>
  <si>
    <t>Tipo intervento:</t>
  </si>
  <si>
    <t>Recupero sottotetti ai fini abitativi</t>
  </si>
  <si>
    <t>Maggiorazione urbanizzazione sec sottotetti</t>
  </si>
  <si>
    <t>S.u.a.</t>
  </si>
  <si>
    <t>Alloggi n.</t>
  </si>
  <si>
    <t>&lt;= 50</t>
  </si>
  <si>
    <t>S.u. = Sup. utile abitabile</t>
  </si>
  <si>
    <t>S.n.r. = Sup. non residenziale</t>
  </si>
  <si>
    <t>60 % di S.n.r. = Sup. ragg.</t>
  </si>
  <si>
    <t>S.c. = Sup. Complessiva</t>
  </si>
  <si>
    <t>S.n. = Sup. netta</t>
  </si>
  <si>
    <t>S.a. = Sup. accessoria</t>
  </si>
  <si>
    <t>60 % di S.a. = Sup. ragg.</t>
  </si>
  <si>
    <t>S.t.= Sup. totale</t>
  </si>
  <si>
    <t>Sì</t>
  </si>
  <si>
    <t>Destinazione d'uso</t>
  </si>
  <si>
    <t>Commerciale direzionale</t>
  </si>
  <si>
    <t>Modalità calcolo:</t>
  </si>
  <si>
    <t>Monetizzazione aree per dotazioni territoriali servizi e parcheggi</t>
  </si>
  <si>
    <t>Contributo sul costo di costruzione per progetto</t>
  </si>
  <si>
    <t>Sottotetti</t>
  </si>
  <si>
    <t>Computo estimativo</t>
  </si>
  <si>
    <t>Sup. di calcolo</t>
  </si>
  <si>
    <t>D) EDIFICIO = (Sc + St se inf.al 25 %) x C</t>
  </si>
  <si>
    <t>B) RESIDENZIALE  (da D.M.)</t>
  </si>
  <si>
    <t>C) MAGGIORATO = B x (1 + M. / 100)</t>
  </si>
  <si>
    <t>su base tabella ministero</t>
  </si>
  <si>
    <t>per residenza da computo estimativo</t>
  </si>
  <si>
    <t>per terziario da computo estimativo</t>
  </si>
  <si>
    <t>SUL COSTO DI COSTRUZIONE TOTALE</t>
  </si>
  <si>
    <t>per rinnovi di Concessione o conguagli</t>
  </si>
  <si>
    <t>per varianti od ampliamenti comparativi</t>
  </si>
  <si>
    <t>Aliquota</t>
  </si>
  <si>
    <t>Risparmio energetico</t>
  </si>
  <si>
    <t>Contributo sul costo di costruzione per differenza tra progetto e stato di fatto</t>
  </si>
  <si>
    <t>Contributo sul costo di costruzione per stato di fatto</t>
  </si>
  <si>
    <t>Contributo sul costo di costruzione</t>
  </si>
  <si>
    <t>Tabella 2-3</t>
  </si>
  <si>
    <t>Oneri urbanizzazione primaria totale</t>
  </si>
  <si>
    <t>Oneri urbanizzazione secondaria totale</t>
  </si>
  <si>
    <t>Sanzione</t>
  </si>
  <si>
    <t>Commercio/Terziario</t>
  </si>
  <si>
    <t>Costo costruzione già corrisposto</t>
  </si>
  <si>
    <t>Oneri urbanizzazione secondaria già corrisposti</t>
  </si>
  <si>
    <t>Oneri urbanizzazione</t>
  </si>
  <si>
    <t>Contributo costruzione</t>
  </si>
  <si>
    <t>Oneri urbanizzazione primaria già corrisposti</t>
  </si>
  <si>
    <t>B</t>
  </si>
  <si>
    <t>C</t>
  </si>
  <si>
    <t>Costo di costruzione già corrisposto</t>
  </si>
  <si>
    <t>-</t>
  </si>
  <si>
    <t>Destinazione iniziale</t>
  </si>
  <si>
    <t>Destinazione finale</t>
  </si>
  <si>
    <t>Area normativa</t>
  </si>
  <si>
    <t>Maggiorazione per fondo aree verdi</t>
  </si>
  <si>
    <t>Ristrutturazione/Ampliamento</t>
  </si>
  <si>
    <t>Nuova costruzione</t>
  </si>
  <si>
    <t>Inserire zona urbanistica da PGT</t>
  </si>
  <si>
    <t>?</t>
  </si>
  <si>
    <t>Consistenza</t>
  </si>
  <si>
    <t>Consistenza reale</t>
  </si>
  <si>
    <t>Consistenza virtuale</t>
  </si>
  <si>
    <t>L'intervento implica oneri di urbanizzazione primaria</t>
  </si>
  <si>
    <t>L'intervento implica oneri di urbanizzazione secondaria</t>
  </si>
  <si>
    <t>Sono già stati corrisposti oneri di urbanizzazione primaria per un importo pari a</t>
  </si>
  <si>
    <t>Descrizione dell'intervento</t>
  </si>
  <si>
    <t>L'intervento ricade in area normativa</t>
  </si>
  <si>
    <t>Urbanizzazione primaria</t>
  </si>
  <si>
    <t>Maggiorazione sugli oneri dovuti per il recupero dei sottotetti a fini abitativi</t>
  </si>
  <si>
    <t>Oneri già corrisposti</t>
  </si>
  <si>
    <t>Riduzione per l'applicazione del "piano casa"</t>
  </si>
  <si>
    <t>Contributo dovuto</t>
  </si>
  <si>
    <t>Maggiorazione sul contributo per il recupero dei sottotetti a fini abitativi</t>
  </si>
  <si>
    <t>Contributo già corrisposto</t>
  </si>
  <si>
    <t>Riduzione per l'applicazione del piano casa</t>
  </si>
  <si>
    <t>Urbanizzazione secondaria</t>
  </si>
  <si>
    <t>Contributo di costruzione comprensivo di altri costi</t>
  </si>
  <si>
    <t>Riepilogo degli importi dovuti a titolo di contributo di costruzione</t>
  </si>
  <si>
    <t>Elementi per il calcolo del contributo sul costo di costruzione</t>
  </si>
  <si>
    <t>Parametri per il calcolo nel caso di nuova edificazione</t>
  </si>
  <si>
    <t>Sanzione pecuniaria per interventi in sanatoria</t>
  </si>
  <si>
    <t>L'intervento fruisce della riduzione prevista dal "piano casa"</t>
  </si>
  <si>
    <t>Sono già stati corrisposti oneri di urbanizzazione secondaria per un importo pari a</t>
  </si>
  <si>
    <t>Parametri per il calcolo nel caso di ristrutturazione edilizia</t>
  </si>
  <si>
    <t>Parametri per il calcolo nel caso di cambio di destinazione d'uso</t>
  </si>
  <si>
    <t>Consistenza finale</t>
  </si>
  <si>
    <t>Superficie lotto</t>
  </si>
  <si>
    <t xml:space="preserve">Consistenza finale </t>
  </si>
  <si>
    <t>Consistenza inziale</t>
  </si>
  <si>
    <t>Parametri per il calcolo della monetizzazione  delle aree a standards</t>
  </si>
  <si>
    <t>Parametri per il calcolo della monetizzazione  per dotazioni territoriali servizi e parcheggi</t>
  </si>
  <si>
    <t>Parametri per il calcolo nel caso di intervento di recupero dei sottotetti ai fini abitativi</t>
  </si>
  <si>
    <t>L'intervento ricade nella zona</t>
  </si>
  <si>
    <t>Selezionare la zona</t>
  </si>
  <si>
    <t>Oneri urbanizzazione primaria</t>
  </si>
  <si>
    <t>Oneri urbanizzazione secondaria</t>
  </si>
  <si>
    <t>Calcolo degli importi dovuti a titolo di oneri di urbanizzazione nel caso di interventi di nuova edificazione e/o ristrutturazione</t>
  </si>
  <si>
    <t>Calcolo degli importi dovuti a titolo di oneri di urbanizzazione nel caso di interventi di cambio destinazione d'uso</t>
  </si>
  <si>
    <t>Maggiorazione sugli oneri di urbanizzazione per Fondo Aree Verdi</t>
  </si>
  <si>
    <t>Maggiorazione sul costo di costruzione per Fondo Aree Verdi</t>
  </si>
  <si>
    <t>Contributo costruzione comprensivo altri costi</t>
  </si>
  <si>
    <t>Cantine, soffitte, lavatoi, locali termici e simili</t>
  </si>
  <si>
    <t>cantine, soffitte, lavatoi, locali termici e simili</t>
  </si>
  <si>
    <t>S.c. = Sup. complessiva</t>
  </si>
  <si>
    <t>&lt;= 95</t>
  </si>
  <si>
    <t>&gt; 95 &lt;=110</t>
  </si>
  <si>
    <t>S.n.r.</t>
  </si>
  <si>
    <t>M.% maggiorazione</t>
  </si>
  <si>
    <t>Accessori</t>
  </si>
  <si>
    <t>Tabella 4 e relative caratteristiche</t>
  </si>
  <si>
    <t>Contributo sul costo di costruzione per lo stato di fatto (D. M. 10/5/1977)</t>
  </si>
  <si>
    <t>CONTRIBUTO SUL COSTO DI COSTRUZIONE (al mq):</t>
  </si>
  <si>
    <t>CONTRIBUTO:</t>
  </si>
  <si>
    <t>CONTRIBUTO GIA' CORRISPOSTO:</t>
  </si>
  <si>
    <t>CONTRIBUTO SUL COSTO DI COSTRUZIONE DOVUTO:</t>
  </si>
  <si>
    <t>CONTRIBUTO SUL COSTO  DI COSTRUZIONE (al mq):</t>
  </si>
  <si>
    <t>R=</t>
  </si>
  <si>
    <t>T=</t>
  </si>
  <si>
    <t>Recupero sottotetti: calcolo superficie da adibire a parcheggio</t>
  </si>
  <si>
    <t>Volume singola unità immobiliare</t>
  </si>
  <si>
    <t>Contributo sul costo di costruzione per lo stato di progetto (D. M. 10/5/1977)</t>
  </si>
  <si>
    <t>Zone territoriali omogenee di riferimento per il calcolo degli oneri di urbanizzazione</t>
  </si>
  <si>
    <t>Destinazioni d'uso previste per il calcolo degli oneri di urbanizzazione</t>
  </si>
  <si>
    <t>Zona 1</t>
  </si>
  <si>
    <t>Zona 2</t>
  </si>
  <si>
    <t>Zona 3</t>
  </si>
  <si>
    <t>Zona 4</t>
  </si>
  <si>
    <t>Zone di riferimento per il calcolo della monetizzazione delle aree standards</t>
  </si>
  <si>
    <t>Zone di riferimento per il calcolo della monetizzazione parcheggi</t>
  </si>
  <si>
    <t>Contributo base al mq sul costo di costruzione</t>
  </si>
  <si>
    <t>Maggiorazione in caso di  recupero dei sottotetti ai fini abitativi</t>
  </si>
  <si>
    <t>Urb. primaria</t>
  </si>
  <si>
    <t>Urb. secondaria</t>
  </si>
  <si>
    <t>Oneri urbanizz.</t>
  </si>
  <si>
    <t>Costo costruz.</t>
  </si>
  <si>
    <t>Riduzione per "Piano casa"</t>
  </si>
  <si>
    <t>Importo</t>
  </si>
  <si>
    <t xml:space="preserve">Industriale alberghiera </t>
  </si>
  <si>
    <t>L'intervento è in sanatoria</t>
  </si>
  <si>
    <t>L'intervento rientra nell'ambito dell'edilizia convenzionata</t>
  </si>
  <si>
    <t>Smaltimento rifiuti nel caso di interventi di cambio destinazione d'uso</t>
  </si>
  <si>
    <t>Totale oneri riferiti alla destinazione iniziale</t>
  </si>
  <si>
    <t>Totale oneri riferiti alla destinazione finale</t>
  </si>
  <si>
    <t>Calcolo degli importi dovuti a titolo di contributo sul costo di costruzione</t>
  </si>
  <si>
    <t>B) RESIDENZIALE</t>
  </si>
  <si>
    <t>C) MAGGIORATO = B x (1 + M / 100)</t>
  </si>
  <si>
    <t>L'intervento implica il pagamento di una sanzione pecuniaria per interventi in sanatoria per un importo pari a</t>
  </si>
  <si>
    <t>Parametri per il calcolo della maggiorazione prevista nel caso in cui l'intervento sottragga superficie agricola nello stato di fatto</t>
  </si>
  <si>
    <t>Superficie agricola sottratta</t>
  </si>
  <si>
    <t>Numero di unità immobiliari</t>
  </si>
  <si>
    <t>Volume dei sottotetti</t>
  </si>
  <si>
    <t>Totale degli incrementi</t>
  </si>
  <si>
    <t>Classe dell'edificio</t>
  </si>
  <si>
    <t>Maggiorazione del costo base di costruzione</t>
  </si>
  <si>
    <t>Superficie complessiva per intervento di nuova costruzione</t>
  </si>
  <si>
    <t>Superficie complessiva per intervento di ristrutturazione o ampliamento</t>
  </si>
  <si>
    <t>Superficie complessiva per intervento di recupero dei sottotetti</t>
  </si>
  <si>
    <t>x</t>
  </si>
  <si>
    <t>Oneri di urbanizzazione nel caso di interventi di nuova edificazione e/o ristrutturazione</t>
  </si>
  <si>
    <t>Oneri di urbanizzazione nel caso di interventi di cambio destinazione d'uso</t>
  </si>
  <si>
    <t>Cambio di destinazione d'uso</t>
  </si>
  <si>
    <t>Torna alla procedura guidata!</t>
  </si>
  <si>
    <t>Calcola gli oneri di urbanizzazione</t>
  </si>
  <si>
    <t>PERCENTUALI DEL COSTO</t>
  </si>
  <si>
    <t>Opzioni</t>
  </si>
  <si>
    <t>Oneri dovuti nel caso di nuova edificazione e/o ristrutturazione</t>
  </si>
  <si>
    <t>Maggiorazione per il recupero dei sottotetti a fini abitativi</t>
  </si>
  <si>
    <t>Calcola il costo di costruzione</t>
  </si>
  <si>
    <t>Calcola il costo di       costruzione comparativo</t>
  </si>
  <si>
    <t>Aliquota per computo estimativo del terziaio</t>
  </si>
  <si>
    <t>Nuova costruz.</t>
  </si>
  <si>
    <t>Ristrutt. e ampliam.</t>
  </si>
  <si>
    <t>Calcolo costo costruzione</t>
  </si>
  <si>
    <t>A</t>
  </si>
  <si>
    <t>Oneri di urbanizzazione primaria nel caso di interventi di cambio destinazione d'uso</t>
  </si>
  <si>
    <t>Oneri di urbanizzazione secondaria nel caso di interventi di cambio destinazione d'uso</t>
  </si>
  <si>
    <t>Ampliamento</t>
  </si>
  <si>
    <t>Calcola gli  oneri di urbanizzazione</t>
  </si>
  <si>
    <t>Attiva la procedura</t>
  </si>
  <si>
    <t>Comune con meno di 50.000 abitanti</t>
  </si>
  <si>
    <t>Tipologia</t>
  </si>
  <si>
    <t>Contributo sul costo di costruzione - classi di edifici e relative maggiorazioni per comuni con meno di 50.000 abitanti</t>
  </si>
  <si>
    <t>Contributo sul costo di costruzione - classi di edifici e relative maggiorazioni per comuni con più di 50.000 abitanti</t>
  </si>
  <si>
    <t>Oneri dovuti nel caso di interventi di nuova edificazione e/o ristrutturazione</t>
  </si>
  <si>
    <t>Oneri dovuti nel caso di interventi di cambio destinazione d'uso</t>
  </si>
  <si>
    <t>Zona B</t>
  </si>
  <si>
    <t>Zona D</t>
  </si>
  <si>
    <t>Zona E</t>
  </si>
  <si>
    <t>Zona F</t>
  </si>
  <si>
    <t>Recupero abitativo dei sottotetti: parametri di calcolo della superficie da adibire a  parcheggio</t>
  </si>
  <si>
    <t>Superficie da adibire a  parcheggio</t>
  </si>
  <si>
    <t>Destinazione ulteriore 2</t>
  </si>
  <si>
    <t>Destinazione ulteriore 3</t>
  </si>
  <si>
    <t>Destinazione ulteriore 4</t>
  </si>
  <si>
    <t>Destinazione ulteriore 5</t>
  </si>
  <si>
    <t>L'intervento fruisce della riduzione tariffaria per risparmio energetico</t>
  </si>
  <si>
    <t>Riduzione per risparmio energetico</t>
  </si>
  <si>
    <t>L'intervento fruisce della riduzione per risparmio energetico per una percentuale pari al</t>
  </si>
  <si>
    <t>piscina</t>
  </si>
  <si>
    <t>Contributo da versare entro l'ultimazione dei lavori</t>
  </si>
  <si>
    <t>Rateizzazione del contributo di costruzione</t>
  </si>
  <si>
    <t>I rata</t>
  </si>
  <si>
    <t>II rata</t>
  </si>
  <si>
    <t>III rata</t>
  </si>
  <si>
    <t>IV rata</t>
  </si>
  <si>
    <t>Interesse legale in vigore</t>
  </si>
  <si>
    <t>Contributo da versare entro 30 giorni dalla presentazione della domanda</t>
  </si>
  <si>
    <t>Dati generali</t>
  </si>
  <si>
    <t>Entro il</t>
  </si>
  <si>
    <t>Importo per eventuali sanzioni</t>
  </si>
  <si>
    <t>Parametri per il calcolo della Fidejussione</t>
  </si>
  <si>
    <t>Importo complessivo delle rate comprensive di interessi</t>
  </si>
  <si>
    <t>Totale fidejussione</t>
  </si>
  <si>
    <t>Scadenza fidejussione</t>
  </si>
  <si>
    <t>Compila il prospetto previsto nel caso di rateizzazione</t>
  </si>
  <si>
    <t>richiesta rateizzazione</t>
  </si>
  <si>
    <t>nessuna rateizzazione</t>
  </si>
  <si>
    <t>Oblazione per interventi eseguiti in sanatoria</t>
  </si>
  <si>
    <t>Oblazione</t>
  </si>
  <si>
    <t>Data invio istanza</t>
  </si>
  <si>
    <t>Oneri urbanizzazione e smaltimento rifiuti</t>
  </si>
  <si>
    <t>Determina la classe dell'edificio</t>
  </si>
  <si>
    <t>Calcola la monetizzazione</t>
  </si>
  <si>
    <t>Costo per lo stato di fatto</t>
  </si>
  <si>
    <t>Costo per lo stato di progetto</t>
  </si>
  <si>
    <t>Calcola la superficie da adibire a parcheggi</t>
  </si>
  <si>
    <t>Visualizza il riepilogo generale</t>
  </si>
  <si>
    <t>Visualizza il riepilogo analitico degli oneri e costi</t>
  </si>
  <si>
    <r>
      <rPr>
        <sz val="8"/>
        <rFont val="Arial"/>
        <family val="2"/>
      </rPr>
      <t>Apponi la "x" sulla cella gialla</t>
    </r>
    <r>
      <rPr>
        <sz val="8"/>
        <color indexed="23"/>
        <rFont val="Arial"/>
        <family val="2"/>
      </rPr>
      <t xml:space="preserve"> che riguarda dapprima la descrizione dell'intervento e di seguito le tipologie di calcolo relative all'intervento o gli interventi di proprio interesse. Il link posto all'interno della cella selezionata ti indirizzerà sul foglio da compilare. Terminata la compilazione dei dati richiesti, la cella relativa al tipo di calcolo selezionato </t>
    </r>
    <r>
      <rPr>
        <sz val="8"/>
        <rFont val="Arial"/>
        <family val="2"/>
      </rPr>
      <t>si colorerà di verde</t>
    </r>
    <r>
      <rPr>
        <sz val="8"/>
        <color indexed="23"/>
        <rFont val="Arial"/>
        <family val="2"/>
      </rPr>
      <t>. Ultimato il calcolo del contributo di costruzione, visualizza la tipologia di riepilogo desiderata.</t>
    </r>
  </si>
  <si>
    <t>Riduzione per interventi di sostituzione</t>
  </si>
  <si>
    <t>Riduzione per intervento di sostituzione</t>
  </si>
  <si>
    <t>L'intervento fruisce della riduzione per intervento di sostituzione</t>
  </si>
  <si>
    <t>Maggiorazione per Fondo Aree verdi</t>
  </si>
  <si>
    <t>Contributo dovuto nel caso di interventi di nuova edificazione e/o ristrutturazione</t>
  </si>
  <si>
    <t>Contributo per il recupero di sottotetti a fini abitativi</t>
  </si>
  <si>
    <t>Oneri per il recupero dei sottotetti ai fini abitativi</t>
  </si>
  <si>
    <t>nuova edificazione</t>
  </si>
  <si>
    <t>ristrutturazione</t>
  </si>
  <si>
    <t>Costo di costruzione BASE per interventi di NUONA EDIFICAZIONE</t>
  </si>
  <si>
    <t>Costo di costruzione BASE per interventi di RISTRUTTURAZIONE</t>
  </si>
  <si>
    <t>Costo di costruzione MAGGIORATO per interventi di NUONA EDIFICAZIONE</t>
  </si>
  <si>
    <t>Costo di costruzione MAGGIORATO per interventi di RISTRUTTURAZIONE</t>
  </si>
  <si>
    <t>L'intervento fruisce della riduzione per interventi di densificazione</t>
  </si>
  <si>
    <t>Riduzione per intervento di densificazione</t>
  </si>
  <si>
    <t>Sono già stati corrisposti oneri di smaltimento rifiuti per un importo pari a</t>
  </si>
  <si>
    <t>Smaltimento rifiuti già corrisposto</t>
  </si>
  <si>
    <t>Riduzione per interventi di densificazione</t>
  </si>
  <si>
    <t>Piano</t>
  </si>
  <si>
    <t>Destinazione singoli vani</t>
  </si>
  <si>
    <t>Unità immobiliare n.</t>
  </si>
  <si>
    <t>Calcolo della superficie complessiva per la determinazione del costo di costruzione dell'edifiico</t>
  </si>
  <si>
    <t>Numero complessivo di unità immobiliari</t>
  </si>
  <si>
    <t>S.n.r. (I)</t>
  </si>
  <si>
    <t>S.n.r. (II)</t>
  </si>
  <si>
    <t>S.n.r. (III)</t>
  </si>
  <si>
    <t>S.n.r. - cantine, soffitte, lavatoi, locali termici etc.</t>
  </si>
  <si>
    <t>S.n.r. - androni e porticati liberi</t>
  </si>
  <si>
    <t>S.n.r. - logge e balconi</t>
  </si>
  <si>
    <t>Dati generali e di riepilogo</t>
  </si>
  <si>
    <r>
      <t xml:space="preserve">S.u.a. </t>
    </r>
    <r>
      <rPr>
        <b/>
        <i/>
        <sz val="10"/>
        <rFont val="Arial"/>
        <family val="2"/>
      </rPr>
      <t>&lt;= 95</t>
    </r>
  </si>
  <si>
    <r>
      <t xml:space="preserve">S.u.a. </t>
    </r>
    <r>
      <rPr>
        <b/>
        <i/>
        <sz val="10"/>
        <rFont val="Arial"/>
        <family val="2"/>
      </rPr>
      <t>&gt; 95 &lt;=110</t>
    </r>
  </si>
  <si>
    <r>
      <t xml:space="preserve">S.u.a. </t>
    </r>
    <r>
      <rPr>
        <b/>
        <i/>
        <sz val="10"/>
        <rFont val="Arial"/>
        <family val="2"/>
      </rPr>
      <t>&gt;110 &lt;=130</t>
    </r>
  </si>
  <si>
    <r>
      <t xml:space="preserve">S.u.a. </t>
    </r>
    <r>
      <rPr>
        <b/>
        <i/>
        <sz val="10"/>
        <rFont val="Arial"/>
        <family val="2"/>
      </rPr>
      <t>&gt;130 &lt;=160</t>
    </r>
  </si>
  <si>
    <r>
      <t xml:space="preserve">S.u.a. </t>
    </r>
    <r>
      <rPr>
        <b/>
        <i/>
        <sz val="10"/>
        <rFont val="Arial"/>
        <family val="2"/>
      </rPr>
      <t>&gt;160</t>
    </r>
  </si>
  <si>
    <r>
      <t xml:space="preserve">S.n.r. </t>
    </r>
    <r>
      <rPr>
        <b/>
        <i/>
        <sz val="10"/>
        <rFont val="Arial"/>
        <family val="2"/>
      </rPr>
      <t>(I)</t>
    </r>
    <r>
      <rPr>
        <i/>
        <sz val="10"/>
        <rFont val="Arial"/>
        <family val="2"/>
      </rPr>
      <t>: cantine, soffitte, lavatoi, locali termici e simili</t>
    </r>
  </si>
  <si>
    <r>
      <t xml:space="preserve">S.n.r. </t>
    </r>
    <r>
      <rPr>
        <b/>
        <i/>
        <sz val="10"/>
        <rFont val="Arial"/>
        <family val="2"/>
      </rPr>
      <t>(II)</t>
    </r>
    <r>
      <rPr>
        <i/>
        <sz val="10"/>
        <rFont val="Arial"/>
        <family val="2"/>
      </rPr>
      <t>: androni e porticati liberi</t>
    </r>
  </si>
  <si>
    <r>
      <t xml:space="preserve">S.n.r. </t>
    </r>
    <r>
      <rPr>
        <b/>
        <i/>
        <sz val="10"/>
        <rFont val="Arial"/>
        <family val="2"/>
      </rPr>
      <t>(III)</t>
    </r>
    <r>
      <rPr>
        <i/>
        <sz val="10"/>
        <rFont val="Arial"/>
        <family val="2"/>
      </rPr>
      <t>: logge e balconi</t>
    </r>
  </si>
  <si>
    <t>Calcola le superfici dell'edificio</t>
  </si>
  <si>
    <t>Totale alloggi</t>
  </si>
  <si>
    <t>Totale S.u.a.</t>
  </si>
  <si>
    <t>Totale S.n.r.</t>
  </si>
  <si>
    <t>Sono già state realizzate opere di urbanizzazione primaria per un importo pari a</t>
  </si>
  <si>
    <t>Sono già state realizzate opere di urbanizzazione secondaria per un importo pari a</t>
  </si>
  <si>
    <t>Importo delle opere di urbanizzazione primaria già realizzate</t>
  </si>
  <si>
    <t>Importo delle opere di urbanizzazione secondaria già realizzate</t>
  </si>
  <si>
    <t>Opere di urb primaria già realizzate</t>
  </si>
  <si>
    <t>Opere di urb secondaria già realizzate</t>
  </si>
  <si>
    <t>Maggiorazione per consumo suolo e riqualificazione suolo degradato</t>
  </si>
  <si>
    <t>L'intervento rientra nelle disposizioni per la riduzione del consumo del suolo e la riqualificazione del suolo degradato</t>
  </si>
  <si>
    <t>Maggiorazione per consumo suolo e riqualificazione del suolo degradato</t>
  </si>
  <si>
    <t>Maggiorazione per consumo suolo</t>
  </si>
  <si>
    <t>maggiore dell'altezza minima regolamentare</t>
  </si>
  <si>
    <t>Zona antica formazione</t>
  </si>
  <si>
    <t>Ambiti di trasformazione</t>
  </si>
  <si>
    <t>ambiti consolidati residenziali</t>
  </si>
  <si>
    <t>ambiti consolidati zone produttive</t>
  </si>
  <si>
    <t>nuclei antica formazione</t>
  </si>
  <si>
    <t>attività artigianale</t>
  </si>
  <si>
    <t>attività industriale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</si>
</sst>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quot;€&quot;\ #,##0.00;\-&quot;€&quot;\ #,##0.00"/>
    <numFmt numFmtId="165" formatCode="&quot;€&quot;\ #,##0.00;[Red]\-&quot;€&quot;\ #,##0.00"/>
    <numFmt numFmtId="166" formatCode="[$€-2]\ #,##0.00;\-[$€-2]\ #,##0.00"/>
    <numFmt numFmtId="167" formatCode="[$€-2]\ #,##0.00"/>
    <numFmt numFmtId="168" formatCode="0.0"/>
    <numFmt numFmtId="169" formatCode="&quot;€&quot;\ #,##0.00"/>
    <numFmt numFmtId="170" formatCode="0.000"/>
    <numFmt numFmtId="171" formatCode="0\ \ %"/>
    <numFmt numFmtId="172" formatCode="#,##0\ &quot;m³&quot;"/>
    <numFmt numFmtId="173" formatCode="#,##0\ &quot;m²&quot;"/>
    <numFmt numFmtId="174" formatCode="0.0\ &quot;%&quot;"/>
    <numFmt numFmtId="175" formatCode="#,##0.00\ &quot;€/m³&quot;;\-#,##0.00\ &quot;€/m³&quot;"/>
    <numFmt numFmtId="176" formatCode="#,##0.00\ &quot;€/m²&quot;;\-#,##0.00\ &quot;€/m²&quot;"/>
    <numFmt numFmtId="177" formatCode="#,##0.0\ &quot;m³&quot;"/>
    <numFmt numFmtId="178" formatCode="#,##0.00\ &quot;m³&quot;"/>
    <numFmt numFmtId="179" formatCode="#,##0.00\ &quot;m²&quot;"/>
    <numFmt numFmtId="180" formatCode="0.00\ &quot;m³&quot;"/>
    <numFmt numFmtId="181" formatCode="0.00\ &quot;m²&quot;"/>
    <numFmt numFmtId="182" formatCode="&quot;€&quot;\ #,##0.00;[Red]&quot;€&quot;\ #,##0.00"/>
    <numFmt numFmtId="183" formatCode="0.0%"/>
  </numFmts>
  <fonts count="99" x14ac:knownFonts="1">
    <font>
      <sz val="10"/>
      <name val="Arial"/>
    </font>
    <font>
      <sz val="11"/>
      <color indexed="8"/>
      <name val="Calibri"/>
      <family val="2"/>
    </font>
    <font>
      <sz val="11"/>
      <color indexed="8"/>
      <name val="Calibri"/>
      <family val="2"/>
    </font>
    <font>
      <sz val="10"/>
      <name val="Arial"/>
      <family val="2"/>
    </font>
    <font>
      <sz val="8"/>
      <name val="Arial"/>
      <family val="2"/>
    </font>
    <font>
      <b/>
      <sz val="10"/>
      <name val="Arial"/>
      <family val="2"/>
    </font>
    <font>
      <sz val="10"/>
      <name val="Arial Narrow"/>
      <family val="2"/>
    </font>
    <font>
      <sz val="10"/>
      <name val="Arial"/>
      <family val="2"/>
    </font>
    <font>
      <sz val="8"/>
      <name val="Arial Narrow"/>
      <family val="2"/>
    </font>
    <font>
      <sz val="7"/>
      <name val="Arial"/>
      <family val="2"/>
    </font>
    <font>
      <sz val="14"/>
      <name val="Arial Narrow"/>
      <family val="2"/>
    </font>
    <font>
      <u/>
      <sz val="10"/>
      <name val="Arial"/>
      <family val="2"/>
    </font>
    <font>
      <sz val="12"/>
      <name val="Arial Narrow"/>
      <family val="2"/>
    </font>
    <font>
      <sz val="10"/>
      <color indexed="8"/>
      <name val="Arial"/>
      <family val="2"/>
    </font>
    <font>
      <sz val="10"/>
      <color indexed="10"/>
      <name val="Symbol"/>
      <family val="1"/>
      <charset val="2"/>
    </font>
    <font>
      <sz val="10"/>
      <color indexed="8"/>
      <name val="Arial"/>
      <family val="2"/>
    </font>
    <font>
      <sz val="10"/>
      <color indexed="12"/>
      <name val="Arial"/>
      <family val="2"/>
    </font>
    <font>
      <sz val="10"/>
      <name val="Tahoma"/>
      <family val="2"/>
    </font>
    <font>
      <b/>
      <sz val="12"/>
      <name val="Arial"/>
      <family val="2"/>
    </font>
    <font>
      <b/>
      <sz val="8"/>
      <name val="Arial"/>
      <family val="2"/>
    </font>
    <font>
      <sz val="10"/>
      <name val="Helv"/>
    </font>
    <font>
      <sz val="8"/>
      <name val="Helv"/>
    </font>
    <font>
      <i/>
      <sz val="8"/>
      <name val="Arial"/>
      <family val="2"/>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2"/>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color indexed="20"/>
      <name val="Calibri"/>
      <family val="2"/>
    </font>
    <font>
      <sz val="11"/>
      <color indexed="17"/>
      <name val="Calibri"/>
      <family val="2"/>
    </font>
    <font>
      <sz val="9"/>
      <name val="Arial"/>
      <family val="2"/>
    </font>
    <font>
      <sz val="9"/>
      <color indexed="12"/>
      <name val="Arial"/>
      <family val="2"/>
    </font>
    <font>
      <b/>
      <sz val="9"/>
      <name val="Arial"/>
      <family val="2"/>
    </font>
    <font>
      <u/>
      <sz val="9"/>
      <name val="Arial"/>
      <family val="2"/>
    </font>
    <font>
      <sz val="9"/>
      <name val="Arial"/>
      <family val="2"/>
    </font>
    <font>
      <b/>
      <sz val="12"/>
      <color indexed="12"/>
      <name val="Arial"/>
      <family val="2"/>
    </font>
    <font>
      <sz val="11"/>
      <color indexed="10"/>
      <name val="Symbol"/>
      <family val="1"/>
      <charset val="2"/>
    </font>
    <font>
      <sz val="9"/>
      <name val="Wingdings"/>
      <charset val="2"/>
    </font>
    <font>
      <sz val="8"/>
      <name val="Arial"/>
      <family val="2"/>
    </font>
    <font>
      <b/>
      <sz val="10"/>
      <color indexed="12"/>
      <name val="Arial"/>
      <family val="2"/>
    </font>
    <font>
      <sz val="9"/>
      <color indexed="81"/>
      <name val="Tahoma"/>
      <family val="2"/>
    </font>
    <font>
      <b/>
      <sz val="9"/>
      <color indexed="81"/>
      <name val="Tahoma"/>
      <family val="2"/>
    </font>
    <font>
      <sz val="10"/>
      <name val="Arial"/>
      <family val="2"/>
    </font>
    <font>
      <i/>
      <sz val="10"/>
      <name val="Arial"/>
      <family val="2"/>
    </font>
    <font>
      <i/>
      <sz val="10"/>
      <name val="Helv"/>
    </font>
    <font>
      <b/>
      <i/>
      <sz val="10"/>
      <name val="Arial"/>
      <family val="2"/>
    </font>
    <font>
      <b/>
      <sz val="10"/>
      <name val="Times New Roman"/>
      <family val="1"/>
    </font>
    <font>
      <sz val="10"/>
      <name val="Wingdings"/>
      <charset val="2"/>
    </font>
    <font>
      <sz val="12"/>
      <name val="Arial"/>
      <family val="2"/>
    </font>
    <font>
      <b/>
      <u/>
      <sz val="10"/>
      <name val="Arial"/>
      <family val="2"/>
    </font>
    <font>
      <sz val="12"/>
      <name val="Helv"/>
    </font>
    <font>
      <sz val="12"/>
      <name val="Wingdings"/>
      <charset val="2"/>
    </font>
    <font>
      <sz val="14"/>
      <name val="Wingdings"/>
      <charset val="2"/>
    </font>
    <font>
      <sz val="16"/>
      <name val="Wingdings"/>
      <charset val="2"/>
    </font>
    <font>
      <sz val="8"/>
      <color indexed="23"/>
      <name val="Arial"/>
      <family val="2"/>
    </font>
    <font>
      <sz val="8"/>
      <color indexed="81"/>
      <name val="Tahoma"/>
      <family val="2"/>
    </font>
    <font>
      <b/>
      <sz val="9"/>
      <color indexed="81"/>
      <name val="Tahoma"/>
      <charset val="1"/>
    </font>
    <font>
      <u/>
      <sz val="10"/>
      <color theme="10"/>
      <name val="Arial"/>
      <family val="2"/>
    </font>
    <font>
      <sz val="10"/>
      <color theme="3" tint="0.39997558519241921"/>
      <name val="Arial"/>
      <family val="2"/>
    </font>
    <font>
      <b/>
      <sz val="12"/>
      <color theme="3" tint="0.39997558519241921"/>
      <name val="Arial"/>
      <family val="2"/>
    </font>
    <font>
      <b/>
      <sz val="10"/>
      <color theme="0" tint="-0.499984740745262"/>
      <name val="Arial"/>
      <family val="2"/>
    </font>
    <font>
      <sz val="10"/>
      <color theme="0" tint="-0.34998626667073579"/>
      <name val="Arial"/>
      <family val="2"/>
    </font>
    <font>
      <b/>
      <sz val="10"/>
      <color theme="3" tint="0.39997558519241921"/>
      <name val="Arial"/>
      <family val="2"/>
    </font>
    <font>
      <sz val="8"/>
      <color theme="3" tint="0.39997558519241921"/>
      <name val="Arial"/>
      <family val="2"/>
    </font>
    <font>
      <sz val="8"/>
      <color theme="0" tint="-0.34998626667073579"/>
      <name val="Arial"/>
      <family val="2"/>
    </font>
    <font>
      <i/>
      <sz val="10"/>
      <color theme="0" tint="-0.499984740745262"/>
      <name val="Arial"/>
      <family val="2"/>
    </font>
    <font>
      <sz val="10"/>
      <color theme="0"/>
      <name val="Arial"/>
      <family val="2"/>
    </font>
    <font>
      <sz val="10"/>
      <color theme="1"/>
      <name val="Arial"/>
      <family val="2"/>
    </font>
    <font>
      <sz val="12"/>
      <color rgb="FF538DD5"/>
      <name val="Arial Narrow"/>
      <family val="2"/>
    </font>
    <font>
      <sz val="9"/>
      <color rgb="FF538DD5"/>
      <name val="Arial"/>
      <family val="2"/>
    </font>
    <font>
      <b/>
      <sz val="10"/>
      <color rgb="FF538DD5"/>
      <name val="Arial"/>
      <family val="2"/>
    </font>
    <font>
      <b/>
      <sz val="12"/>
      <color rgb="FF538DD5"/>
      <name val="Arial"/>
      <family val="2"/>
    </font>
    <font>
      <sz val="10"/>
      <color rgb="FF808080"/>
      <name val="Arial"/>
      <family val="2"/>
    </font>
    <font>
      <b/>
      <sz val="10"/>
      <color rgb="FF808080"/>
      <name val="Arial"/>
      <family val="2"/>
    </font>
    <font>
      <sz val="10"/>
      <color rgb="FF808080"/>
      <name val="Helv"/>
    </font>
    <font>
      <sz val="10"/>
      <color rgb="FF538DD5"/>
      <name val="Arial"/>
      <family val="2"/>
    </font>
    <font>
      <b/>
      <sz val="10"/>
      <color rgb="FFFF0000"/>
      <name val="Arial"/>
      <family val="2"/>
    </font>
    <font>
      <b/>
      <sz val="11"/>
      <color theme="3" tint="0.39997558519241921"/>
      <name val="Arial"/>
      <family val="2"/>
    </font>
    <font>
      <b/>
      <sz val="11"/>
      <color rgb="FFFF0000"/>
      <name val="Arial"/>
      <family val="2"/>
    </font>
    <font>
      <sz val="10"/>
      <color rgb="FFFF0000"/>
      <name val="Arial"/>
      <family val="2"/>
    </font>
    <font>
      <b/>
      <sz val="11"/>
      <color rgb="FF538DD5"/>
      <name val="Arial"/>
      <family val="2"/>
    </font>
    <font>
      <b/>
      <sz val="10"/>
      <color theme="0"/>
      <name val="Arial"/>
      <family val="2"/>
    </font>
    <font>
      <sz val="8"/>
      <color theme="0" tint="-0.499984740745262"/>
      <name val="Arial"/>
      <family val="2"/>
    </font>
    <font>
      <i/>
      <sz val="10"/>
      <color rgb="FF538DD5"/>
      <name val="Helv"/>
    </font>
    <font>
      <b/>
      <sz val="12"/>
      <color theme="4"/>
      <name val="Arial"/>
      <family val="2"/>
    </font>
    <font>
      <b/>
      <u/>
      <sz val="10"/>
      <color rgb="FF808080"/>
      <name val="Arial"/>
      <family val="2"/>
    </font>
    <font>
      <u/>
      <sz val="10"/>
      <color rgb="FF538DD5"/>
      <name val="Arial"/>
      <family val="2"/>
    </font>
    <font>
      <b/>
      <i/>
      <sz val="10"/>
      <color rgb="FF538DD5"/>
      <name val="Helv"/>
    </font>
    <font>
      <b/>
      <i/>
      <sz val="9"/>
      <color indexed="81"/>
      <name val="Tahoma"/>
      <family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theme="0" tint="-0.14999847407452621"/>
        <bgColor indexed="64"/>
      </patternFill>
    </fill>
    <fill>
      <patternFill patternType="solid">
        <fgColor theme="0"/>
        <bgColor indexed="64"/>
      </patternFill>
    </fill>
    <fill>
      <patternFill patternType="solid">
        <fgColor rgb="FFE4E4E4"/>
        <bgColor indexed="64"/>
      </patternFill>
    </fill>
    <fill>
      <patternFill patternType="solid">
        <fgColor rgb="FFD9D9D9"/>
        <bgColor indexed="64"/>
      </patternFill>
    </fill>
    <fill>
      <patternFill patternType="solid">
        <fgColor rgb="FFEAEAEA"/>
        <bgColor indexed="64"/>
      </patternFill>
    </fill>
    <fill>
      <patternFill patternType="solid">
        <fgColor rgb="FFFFFF9B"/>
        <bgColor indexed="64"/>
      </patternFill>
    </fill>
    <fill>
      <patternFill patternType="solid">
        <fgColor theme="0" tint="-0.249977111117893"/>
        <bgColor indexed="64"/>
      </patternFill>
    </fill>
  </fills>
  <borders count="99">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style="medium">
        <color indexed="64"/>
      </right>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bottom style="thin">
        <color indexed="64"/>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right style="thin">
        <color indexed="64"/>
      </right>
      <top style="thin">
        <color indexed="64"/>
      </top>
      <bottom style="thick">
        <color rgb="FFFF0000"/>
      </bottom>
      <diagonal/>
    </border>
    <border>
      <left/>
      <right/>
      <top/>
      <bottom style="thick">
        <color rgb="FFFF0000"/>
      </bottom>
      <diagonal/>
    </border>
    <border>
      <left/>
      <right style="thin">
        <color indexed="64"/>
      </right>
      <top/>
      <bottom style="thick">
        <color rgb="FFFF0000"/>
      </bottom>
      <diagonal/>
    </border>
    <border>
      <left style="thin">
        <color indexed="64"/>
      </left>
      <right/>
      <top/>
      <bottom style="thick">
        <color rgb="FFFF0000"/>
      </bottom>
      <diagonal/>
    </border>
    <border>
      <left style="thin">
        <color theme="0"/>
      </left>
      <right style="thin">
        <color theme="0"/>
      </right>
      <top style="thin">
        <color theme="0"/>
      </top>
      <bottom style="thin">
        <color theme="0"/>
      </bottom>
      <diagonal/>
    </border>
    <border>
      <left/>
      <right/>
      <top style="thick">
        <color rgb="FFFF0000"/>
      </top>
      <bottom/>
      <diagonal/>
    </border>
    <border>
      <left/>
      <right style="thick">
        <color rgb="FFFF0000"/>
      </right>
      <top style="thick">
        <color rgb="FFFF0000"/>
      </top>
      <bottom/>
      <diagonal/>
    </border>
    <border>
      <left/>
      <right style="thick">
        <color rgb="FFFF0000"/>
      </right>
      <top/>
      <bottom/>
      <diagonal/>
    </border>
    <border>
      <left/>
      <right style="thick">
        <color rgb="FFFF0000"/>
      </right>
      <top/>
      <bottom style="thick">
        <color rgb="FFFF0000"/>
      </bottom>
      <diagonal/>
    </border>
    <border>
      <left style="thick">
        <color rgb="FFFF0000"/>
      </left>
      <right/>
      <top style="thick">
        <color rgb="FFFF0000"/>
      </top>
      <bottom/>
      <diagonal/>
    </border>
    <border>
      <left style="thick">
        <color rgb="FFFF0000"/>
      </left>
      <right/>
      <top/>
      <bottom/>
      <diagonal/>
    </border>
    <border>
      <left style="thick">
        <color rgb="FFFF0000"/>
      </left>
      <right/>
      <top/>
      <bottom style="thick">
        <color rgb="FFFF000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s>
  <cellStyleXfs count="90">
    <xf numFmtId="0" fontId="0" fillId="0" borderId="0"/>
    <xf numFmtId="0" fontId="23" fillId="2" borderId="0" applyNumberFormat="0" applyBorder="0" applyAlignment="0" applyProtection="0"/>
    <xf numFmtId="0" fontId="2"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23" fillId="3" borderId="0" applyNumberFormat="0" applyBorder="0" applyAlignment="0" applyProtection="0"/>
    <xf numFmtId="0" fontId="2"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23" fillId="4" borderId="0" applyNumberFormat="0" applyBorder="0" applyAlignment="0" applyProtection="0"/>
    <xf numFmtId="0" fontId="2"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23" fillId="5" borderId="0" applyNumberFormat="0" applyBorder="0" applyAlignment="0" applyProtection="0"/>
    <xf numFmtId="0" fontId="2"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23" fillId="6" borderId="0" applyNumberFormat="0" applyBorder="0" applyAlignment="0" applyProtection="0"/>
    <xf numFmtId="0" fontId="2"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23" fillId="7" borderId="0" applyNumberFormat="0" applyBorder="0" applyAlignment="0" applyProtection="0"/>
    <xf numFmtId="0" fontId="2"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23" fillId="8" borderId="0" applyNumberFormat="0" applyBorder="0" applyAlignment="0" applyProtection="0"/>
    <xf numFmtId="0" fontId="2"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23" fillId="9" borderId="0" applyNumberFormat="0" applyBorder="0" applyAlignment="0" applyProtection="0"/>
    <xf numFmtId="0" fontId="2"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23" fillId="10" borderId="0" applyNumberFormat="0" applyBorder="0" applyAlignment="0" applyProtection="0"/>
    <xf numFmtId="0" fontId="2"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3" fillId="5" borderId="0" applyNumberFormat="0" applyBorder="0" applyAlignment="0" applyProtection="0"/>
    <xf numFmtId="0" fontId="2"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23" fillId="8" borderId="0" applyNumberFormat="0" applyBorder="0" applyAlignment="0" applyProtection="0"/>
    <xf numFmtId="0" fontId="2"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23" fillId="11" borderId="0" applyNumberFormat="0" applyBorder="0" applyAlignment="0" applyProtection="0"/>
    <xf numFmtId="0" fontId="2"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5" fillId="16" borderId="1" applyNumberFormat="0" applyAlignment="0" applyProtection="0"/>
    <xf numFmtId="0" fontId="26" fillId="0" borderId="2" applyNumberFormat="0" applyFill="0" applyAlignment="0" applyProtection="0"/>
    <xf numFmtId="0" fontId="27" fillId="17" borderId="3" applyNumberFormat="0" applyAlignment="0" applyProtection="0"/>
    <xf numFmtId="0" fontId="67" fillId="0" borderId="0" applyNumberFormat="0" applyFill="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21" borderId="0" applyNumberFormat="0" applyBorder="0" applyAlignment="0" applyProtection="0"/>
    <xf numFmtId="0" fontId="28" fillId="7" borderId="1" applyNumberFormat="0" applyAlignment="0" applyProtection="0"/>
    <xf numFmtId="0" fontId="5" fillId="22" borderId="0">
      <alignment horizontal="center" vertical="center" wrapText="1"/>
    </xf>
    <xf numFmtId="0" fontId="5" fillId="23" borderId="4" applyNumberFormat="0" applyFill="0" applyProtection="0">
      <alignment vertical="center"/>
    </xf>
    <xf numFmtId="0" fontId="18" fillId="23" borderId="5" applyNumberFormat="0" applyFill="0" applyBorder="0" applyProtection="0">
      <alignment vertical="center"/>
    </xf>
    <xf numFmtId="172" fontId="7" fillId="24" borderId="6" applyFill="0" applyBorder="0" applyProtection="0">
      <alignment horizontal="right"/>
      <protection locked="0"/>
    </xf>
    <xf numFmtId="172" fontId="3" fillId="24" borderId="6" applyFill="0" applyBorder="0" applyProtection="0">
      <alignment horizontal="right"/>
      <protection locked="0"/>
    </xf>
    <xf numFmtId="173" fontId="7" fillId="24" borderId="6" applyFill="0" applyBorder="0" applyProtection="0">
      <alignment horizontal="right"/>
      <protection locked="0"/>
    </xf>
    <xf numFmtId="173" fontId="3" fillId="24" borderId="6" applyFill="0" applyBorder="0" applyProtection="0">
      <alignment horizontal="right"/>
      <protection locked="0"/>
    </xf>
    <xf numFmtId="43" fontId="3" fillId="0" borderId="0" applyFont="0" applyFill="0" applyBorder="0" applyAlignment="0" applyProtection="0"/>
    <xf numFmtId="0" fontId="29" fillId="25" borderId="0" applyNumberFormat="0" applyBorder="0" applyAlignment="0" applyProtection="0"/>
    <xf numFmtId="0" fontId="3" fillId="0" borderId="0"/>
    <xf numFmtId="168" fontId="20" fillId="0" borderId="0"/>
    <xf numFmtId="0" fontId="3" fillId="26" borderId="7" applyNumberFormat="0" applyFont="0" applyAlignment="0" applyProtection="0"/>
    <xf numFmtId="0" fontId="30" fillId="16" borderId="8" applyNumberFormat="0" applyAlignment="0" applyProtection="0"/>
    <xf numFmtId="174" fontId="3" fillId="0" borderId="0" applyFon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0" borderId="10" applyNumberFormat="0" applyFill="0" applyAlignment="0" applyProtection="0"/>
    <xf numFmtId="0" fontId="36" fillId="0" borderId="11" applyNumberFormat="0" applyFill="0" applyAlignment="0" applyProtection="0"/>
    <xf numFmtId="0" fontId="36" fillId="0" borderId="0" applyNumberFormat="0" applyFill="0" applyBorder="0" applyAlignment="0" applyProtection="0"/>
    <xf numFmtId="0" fontId="37" fillId="0" borderId="12" applyNumberFormat="0" applyFill="0" applyAlignment="0" applyProtection="0"/>
    <xf numFmtId="0" fontId="38" fillId="3" borderId="0" applyNumberFormat="0" applyBorder="0" applyAlignment="0" applyProtection="0"/>
    <xf numFmtId="0" fontId="39" fillId="4" borderId="0" applyNumberFormat="0" applyBorder="0" applyAlignment="0" applyProtection="0"/>
  </cellStyleXfs>
  <cellXfs count="1133">
    <xf numFmtId="0" fontId="0" fillId="0" borderId="0" xfId="0"/>
    <xf numFmtId="169" fontId="7" fillId="0" borderId="0" xfId="0" applyNumberFormat="1" applyFont="1" applyAlignment="1">
      <alignment horizontal="center"/>
    </xf>
    <xf numFmtId="0" fontId="0" fillId="0" borderId="0" xfId="0" applyAlignment="1">
      <alignment horizontal="center" vertical="center" wrapText="1"/>
    </xf>
    <xf numFmtId="0" fontId="40" fillId="28" borderId="0" xfId="0" applyFont="1" applyFill="1" applyAlignment="1">
      <alignment vertical="center"/>
    </xf>
    <xf numFmtId="166" fontId="49" fillId="28" borderId="6" xfId="0" applyNumberFormat="1" applyFont="1" applyFill="1" applyBorder="1" applyAlignment="1">
      <alignment vertical="center"/>
    </xf>
    <xf numFmtId="0" fontId="0" fillId="28" borderId="0" xfId="0" applyFill="1"/>
    <xf numFmtId="0" fontId="68" fillId="28" borderId="0" xfId="0" applyFont="1" applyFill="1"/>
    <xf numFmtId="0" fontId="10" fillId="28" borderId="0" xfId="0" applyFont="1" applyFill="1"/>
    <xf numFmtId="0" fontId="12" fillId="28" borderId="0" xfId="0" applyFont="1" applyFill="1"/>
    <xf numFmtId="0" fontId="0" fillId="28" borderId="0" xfId="0" applyFill="1" applyAlignment="1">
      <alignment vertical="center"/>
    </xf>
    <xf numFmtId="0" fontId="40" fillId="28" borderId="4" xfId="0" applyFont="1" applyFill="1" applyBorder="1" applyAlignment="1">
      <alignment horizontal="center" vertical="center"/>
    </xf>
    <xf numFmtId="0" fontId="15" fillId="28" borderId="13" xfId="0" applyFont="1" applyFill="1" applyBorder="1" applyAlignment="1">
      <alignment vertical="center"/>
    </xf>
    <xf numFmtId="0" fontId="10" fillId="0" borderId="0" xfId="0" applyFont="1"/>
    <xf numFmtId="0" fontId="12" fillId="0" borderId="0" xfId="0" applyFont="1"/>
    <xf numFmtId="0" fontId="0" fillId="0" borderId="0" xfId="0" applyAlignment="1">
      <alignment vertical="center"/>
    </xf>
    <xf numFmtId="0" fontId="46" fillId="0" borderId="0" xfId="0" applyFont="1" applyAlignment="1" applyProtection="1">
      <alignment horizontal="right" vertical="center"/>
      <protection hidden="1"/>
    </xf>
    <xf numFmtId="0" fontId="44" fillId="0" borderId="0" xfId="0" applyFont="1" applyAlignment="1">
      <alignment horizontal="right" vertical="center"/>
    </xf>
    <xf numFmtId="0" fontId="44" fillId="0" borderId="0" xfId="0" applyFont="1" applyAlignment="1">
      <alignment vertical="center"/>
    </xf>
    <xf numFmtId="0" fontId="40" fillId="0" borderId="0" xfId="0" applyFont="1" applyAlignment="1">
      <alignment vertical="center"/>
    </xf>
    <xf numFmtId="0" fontId="42" fillId="0" borderId="0" xfId="0" applyFont="1" applyAlignment="1">
      <alignment horizontal="right" vertical="center"/>
    </xf>
    <xf numFmtId="166" fontId="40" fillId="0" borderId="0" xfId="0" applyNumberFormat="1" applyFont="1" applyAlignment="1">
      <alignment vertical="center"/>
    </xf>
    <xf numFmtId="0" fontId="40" fillId="0" borderId="0" xfId="0" quotePrefix="1" applyFont="1" applyAlignment="1">
      <alignment horizontal="center" vertical="center"/>
    </xf>
    <xf numFmtId="0" fontId="12" fillId="0" borderId="0" xfId="0" applyFont="1" applyAlignment="1">
      <alignment vertical="center"/>
    </xf>
    <xf numFmtId="0" fontId="43" fillId="0" borderId="0" xfId="0" applyFont="1" applyAlignment="1">
      <alignment horizontal="center" vertical="center"/>
    </xf>
    <xf numFmtId="43" fontId="52" fillId="0" borderId="0" xfId="73" applyFont="1" applyFill="1" applyBorder="1" applyAlignment="1" applyProtection="1">
      <alignment horizontal="center" vertical="center" wrapText="1"/>
    </xf>
    <xf numFmtId="0" fontId="10" fillId="0" borderId="0" xfId="0" applyFont="1" applyAlignment="1">
      <alignment vertical="center"/>
    </xf>
    <xf numFmtId="0" fontId="4" fillId="0" borderId="0" xfId="0" applyFont="1"/>
    <xf numFmtId="0" fontId="8" fillId="0" borderId="0" xfId="0" applyFont="1"/>
    <xf numFmtId="0" fontId="68" fillId="0" borderId="0" xfId="0" applyFont="1"/>
    <xf numFmtId="0" fontId="6" fillId="0" borderId="0" xfId="0" applyFont="1"/>
    <xf numFmtId="0" fontId="69" fillId="0" borderId="0" xfId="68" applyFont="1" applyFill="1" applyBorder="1" applyAlignment="1" applyProtection="1">
      <alignment horizontal="left" vertical="center"/>
    </xf>
    <xf numFmtId="0" fontId="9" fillId="0" borderId="0" xfId="0" applyFont="1"/>
    <xf numFmtId="0" fontId="17" fillId="0" borderId="0" xfId="0" applyFont="1"/>
    <xf numFmtId="0" fontId="70" fillId="0" borderId="0" xfId="0" applyFont="1"/>
    <xf numFmtId="0" fontId="71" fillId="0" borderId="0" xfId="0" applyFont="1"/>
    <xf numFmtId="0" fontId="69" fillId="0" borderId="0" xfId="0" applyFont="1" applyAlignment="1">
      <alignment horizontal="left" vertical="center"/>
    </xf>
    <xf numFmtId="0" fontId="40" fillId="28" borderId="0" xfId="0" applyFont="1" applyFill="1" applyAlignment="1">
      <alignment horizontal="center" vertical="center"/>
    </xf>
    <xf numFmtId="166" fontId="49" fillId="28" borderId="0" xfId="0" applyNumberFormat="1" applyFont="1" applyFill="1" applyAlignment="1">
      <alignment vertical="center"/>
    </xf>
    <xf numFmtId="0" fontId="15" fillId="28" borderId="0" xfId="0" applyFont="1" applyFill="1" applyAlignment="1">
      <alignment vertical="center"/>
    </xf>
    <xf numFmtId="0" fontId="3" fillId="0" borderId="0" xfId="0" applyFont="1" applyAlignment="1">
      <alignment horizontal="center" vertical="center" wrapText="1"/>
    </xf>
    <xf numFmtId="0" fontId="0" fillId="29" borderId="0" xfId="0" applyFill="1"/>
    <xf numFmtId="0" fontId="5" fillId="0" borderId="0" xfId="0" applyFont="1" applyAlignment="1">
      <alignment horizontal="center"/>
    </xf>
    <xf numFmtId="169" fontId="0" fillId="0" borderId="0" xfId="0" applyNumberFormat="1"/>
    <xf numFmtId="174" fontId="3" fillId="0" borderId="0" xfId="79" applyFont="1" applyFill="1" applyBorder="1" applyProtection="1"/>
    <xf numFmtId="0" fontId="0" fillId="0" borderId="13" xfId="0" applyBorder="1"/>
    <xf numFmtId="0" fontId="42" fillId="0" borderId="4" xfId="67" applyFont="1" applyFill="1" applyProtection="1">
      <alignment vertical="center"/>
    </xf>
    <xf numFmtId="0" fontId="42" fillId="0" borderId="0" xfId="67" applyFont="1" applyFill="1" applyBorder="1" applyProtection="1">
      <alignment vertical="center"/>
    </xf>
    <xf numFmtId="0" fontId="3" fillId="0" borderId="13" xfId="0" applyFont="1" applyBorder="1"/>
    <xf numFmtId="0" fontId="5" fillId="0" borderId="14" xfId="67" applyFill="1" applyBorder="1" applyProtection="1">
      <alignment vertical="center"/>
    </xf>
    <xf numFmtId="0" fontId="5" fillId="0" borderId="0" xfId="67" applyFill="1" applyBorder="1" applyProtection="1">
      <alignment vertical="center"/>
    </xf>
    <xf numFmtId="166" fontId="70" fillId="0" borderId="0" xfId="0" applyNumberFormat="1" applyFont="1" applyAlignment="1">
      <alignment vertical="center"/>
    </xf>
    <xf numFmtId="166" fontId="72" fillId="0" borderId="0" xfId="0" applyNumberFormat="1" applyFont="1" applyAlignment="1">
      <alignment vertical="center"/>
    </xf>
    <xf numFmtId="0" fontId="3" fillId="0" borderId="15" xfId="67" applyFont="1" applyFill="1" applyBorder="1" applyProtection="1">
      <alignment vertical="center"/>
    </xf>
    <xf numFmtId="0" fontId="3" fillId="0" borderId="14" xfId="67" applyFont="1" applyFill="1" applyBorder="1" applyProtection="1">
      <alignment vertical="center"/>
    </xf>
    <xf numFmtId="0" fontId="8" fillId="0" borderId="16" xfId="0" applyFont="1" applyBorder="1"/>
    <xf numFmtId="0" fontId="8" fillId="0" borderId="17" xfId="0" applyFont="1" applyBorder="1"/>
    <xf numFmtId="0" fontId="0" fillId="0" borderId="18" xfId="0" applyBorder="1"/>
    <xf numFmtId="0" fontId="4" fillId="0" borderId="17" xfId="0" applyFont="1" applyBorder="1"/>
    <xf numFmtId="0" fontId="73" fillId="0" borderId="17" xfId="0" applyFont="1" applyBorder="1"/>
    <xf numFmtId="0" fontId="4" fillId="0" borderId="18" xfId="0" applyFont="1" applyBorder="1"/>
    <xf numFmtId="0" fontId="9" fillId="0" borderId="16" xfId="0" applyFont="1" applyBorder="1"/>
    <xf numFmtId="0" fontId="9" fillId="0" borderId="17" xfId="0" applyFont="1" applyBorder="1"/>
    <xf numFmtId="166" fontId="72" fillId="30" borderId="19" xfId="0" applyNumberFormat="1" applyFont="1" applyFill="1" applyBorder="1" applyAlignment="1">
      <alignment vertical="center"/>
    </xf>
    <xf numFmtId="166" fontId="53" fillId="30" borderId="20" xfId="0" applyNumberFormat="1" applyFont="1" applyFill="1" applyBorder="1" applyAlignment="1">
      <alignment horizontal="left" vertical="center"/>
    </xf>
    <xf numFmtId="166" fontId="3" fillId="30" borderId="19" xfId="0" applyNumberFormat="1" applyFont="1" applyFill="1" applyBorder="1" applyAlignment="1">
      <alignment vertical="center"/>
    </xf>
    <xf numFmtId="166" fontId="3" fillId="30" borderId="21" xfId="0" applyNumberFormat="1" applyFont="1" applyFill="1" applyBorder="1" applyAlignment="1">
      <alignment vertical="center"/>
    </xf>
    <xf numFmtId="166" fontId="72" fillId="0" borderId="0" xfId="0" applyNumberFormat="1" applyFont="1" applyAlignment="1">
      <alignment horizontal="right" vertical="center"/>
    </xf>
    <xf numFmtId="166" fontId="53" fillId="30" borderId="22" xfId="0" applyNumberFormat="1" applyFont="1" applyFill="1" applyBorder="1" applyAlignment="1">
      <alignment horizontal="left" vertical="center"/>
    </xf>
    <xf numFmtId="166" fontId="53" fillId="0" borderId="23" xfId="0" applyNumberFormat="1" applyFont="1" applyBorder="1" applyAlignment="1">
      <alignment horizontal="left" vertical="center"/>
    </xf>
    <xf numFmtId="166" fontId="3" fillId="30" borderId="24" xfId="0" applyNumberFormat="1" applyFont="1" applyFill="1" applyBorder="1" applyAlignment="1">
      <alignment vertical="center"/>
    </xf>
    <xf numFmtId="0" fontId="72" fillId="30" borderId="20" xfId="0" applyFont="1" applyFill="1" applyBorder="1" applyAlignment="1">
      <alignment horizontal="center" vertical="center"/>
    </xf>
    <xf numFmtId="0" fontId="0" fillId="0" borderId="17" xfId="0" applyBorder="1"/>
    <xf numFmtId="0" fontId="0" fillId="0" borderId="14" xfId="0" applyBorder="1"/>
    <xf numFmtId="0" fontId="0" fillId="0" borderId="25" xfId="0" applyBorder="1"/>
    <xf numFmtId="166" fontId="53" fillId="30" borderId="26" xfId="0" applyNumberFormat="1" applyFont="1" applyFill="1" applyBorder="1" applyAlignment="1">
      <alignment horizontal="left" vertical="center"/>
    </xf>
    <xf numFmtId="166" fontId="69" fillId="30" borderId="27" xfId="0" applyNumberFormat="1" applyFont="1" applyFill="1" applyBorder="1" applyAlignment="1">
      <alignment vertical="center"/>
    </xf>
    <xf numFmtId="166" fontId="69" fillId="30" borderId="19" xfId="0" applyNumberFormat="1" applyFont="1" applyFill="1" applyBorder="1" applyAlignment="1">
      <alignment vertical="center"/>
    </xf>
    <xf numFmtId="0" fontId="0" fillId="0" borderId="5" xfId="0" applyBorder="1"/>
    <xf numFmtId="0" fontId="5" fillId="0" borderId="17" xfId="67" applyFill="1" applyBorder="1" applyProtection="1">
      <alignment vertical="center"/>
    </xf>
    <xf numFmtId="0" fontId="0" fillId="0" borderId="28" xfId="0" applyBorder="1"/>
    <xf numFmtId="0" fontId="68" fillId="0" borderId="25" xfId="0" applyFont="1" applyBorder="1"/>
    <xf numFmtId="2" fontId="3" fillId="30" borderId="19" xfId="0" applyNumberFormat="1" applyFont="1" applyFill="1" applyBorder="1" applyAlignment="1">
      <alignment vertical="center"/>
    </xf>
    <xf numFmtId="0" fontId="3" fillId="30" borderId="19" xfId="0" applyFont="1" applyFill="1" applyBorder="1" applyAlignment="1">
      <alignment horizontal="right" vertical="center"/>
    </xf>
    <xf numFmtId="174" fontId="3" fillId="30" borderId="19" xfId="79" applyFont="1" applyFill="1" applyBorder="1" applyAlignment="1" applyProtection="1">
      <alignment vertical="center"/>
    </xf>
    <xf numFmtId="179" fontId="3" fillId="30" borderId="19" xfId="71" applyNumberFormat="1" applyFont="1" applyFill="1" applyBorder="1" applyProtection="1">
      <alignment horizontal="right"/>
    </xf>
    <xf numFmtId="178" fontId="3" fillId="30" borderId="19" xfId="69" applyNumberFormat="1" applyFont="1" applyFill="1" applyBorder="1" applyAlignment="1" applyProtection="1">
      <alignment vertical="center"/>
    </xf>
    <xf numFmtId="1" fontId="3" fillId="30" borderId="19" xfId="71" applyNumberFormat="1" applyFont="1" applyFill="1" applyBorder="1" applyAlignment="1" applyProtection="1">
      <alignment vertical="center"/>
    </xf>
    <xf numFmtId="0" fontId="0" fillId="0" borderId="16" xfId="0" applyBorder="1"/>
    <xf numFmtId="0" fontId="4" fillId="0" borderId="13" xfId="0" applyFont="1" applyBorder="1"/>
    <xf numFmtId="0" fontId="74" fillId="0" borderId="0" xfId="0" applyFont="1" applyAlignment="1">
      <alignment vertical="center"/>
    </xf>
    <xf numFmtId="166" fontId="45" fillId="0" borderId="0" xfId="0" applyNumberFormat="1" applyFont="1" applyAlignment="1">
      <alignment vertical="center"/>
    </xf>
    <xf numFmtId="166" fontId="68" fillId="30" borderId="19" xfId="0" applyNumberFormat="1" applyFont="1" applyFill="1" applyBorder="1" applyAlignment="1">
      <alignment vertical="center"/>
    </xf>
    <xf numFmtId="166" fontId="68" fillId="0" borderId="24" xfId="0" applyNumberFormat="1" applyFont="1" applyBorder="1" applyAlignment="1">
      <alignment horizontal="right" vertical="center"/>
    </xf>
    <xf numFmtId="166" fontId="72" fillId="0" borderId="29" xfId="0" applyNumberFormat="1" applyFont="1" applyBorder="1" applyAlignment="1">
      <alignment vertical="center"/>
    </xf>
    <xf numFmtId="166" fontId="53" fillId="0" borderId="0" xfId="0" applyNumberFormat="1" applyFont="1" applyAlignment="1">
      <alignment horizontal="left" vertical="center"/>
    </xf>
    <xf numFmtId="0" fontId="75" fillId="0" borderId="4" xfId="66" applyFont="1" applyFill="1" applyBorder="1">
      <alignment horizontal="center" vertical="center" wrapText="1"/>
    </xf>
    <xf numFmtId="0" fontId="75" fillId="0" borderId="0" xfId="66" applyFont="1" applyFill="1">
      <alignment horizontal="center" vertical="center" wrapText="1"/>
    </xf>
    <xf numFmtId="0" fontId="75" fillId="0" borderId="0" xfId="0" applyFont="1" applyAlignment="1">
      <alignment horizontal="center" vertical="center" wrapText="1"/>
    </xf>
    <xf numFmtId="166" fontId="68" fillId="30" borderId="21" xfId="0" applyNumberFormat="1" applyFont="1" applyFill="1" applyBorder="1" applyAlignment="1">
      <alignment vertical="center"/>
    </xf>
    <xf numFmtId="0" fontId="76" fillId="29" borderId="0" xfId="0" applyFont="1" applyFill="1" applyProtection="1">
      <protection hidden="1"/>
    </xf>
    <xf numFmtId="0" fontId="12" fillId="0" borderId="14" xfId="0" applyFont="1" applyBorder="1" applyAlignment="1">
      <alignment vertical="center"/>
    </xf>
    <xf numFmtId="0" fontId="12" fillId="0" borderId="0" xfId="0" applyFont="1" applyAlignment="1">
      <alignment horizontal="right" vertical="center"/>
    </xf>
    <xf numFmtId="0" fontId="72" fillId="0" borderId="0" xfId="66" applyFont="1" applyFill="1">
      <alignment horizontal="center" vertical="center" wrapText="1"/>
    </xf>
    <xf numFmtId="0" fontId="72" fillId="0" borderId="0" xfId="0" applyFont="1" applyAlignment="1">
      <alignment horizontal="center" vertical="center"/>
    </xf>
    <xf numFmtId="0" fontId="12" fillId="0" borderId="13" xfId="0" applyFont="1" applyBorder="1" applyAlignment="1">
      <alignment vertical="center"/>
    </xf>
    <xf numFmtId="0" fontId="0" fillId="0" borderId="13" xfId="0" applyBorder="1" applyAlignment="1">
      <alignment vertical="center"/>
    </xf>
    <xf numFmtId="0" fontId="40" fillId="0" borderId="14" xfId="0" applyFont="1" applyBorder="1" applyAlignment="1">
      <alignment vertical="center"/>
    </xf>
    <xf numFmtId="0" fontId="47" fillId="0" borderId="0" xfId="0" applyFont="1" applyAlignment="1">
      <alignment horizontal="center" vertical="center"/>
    </xf>
    <xf numFmtId="0" fontId="42" fillId="0" borderId="14" xfId="0" applyFont="1" applyBorder="1" applyAlignment="1">
      <alignment horizontal="right" vertical="center"/>
    </xf>
    <xf numFmtId="0" fontId="40" fillId="0" borderId="0" xfId="0" applyFont="1" applyAlignment="1">
      <alignment horizontal="right" vertical="center"/>
    </xf>
    <xf numFmtId="0" fontId="42" fillId="0" borderId="0" xfId="0" applyFont="1" applyAlignment="1">
      <alignment horizontal="center" vertical="center"/>
    </xf>
    <xf numFmtId="0" fontId="19" fillId="0" borderId="0" xfId="66" applyFont="1" applyFill="1" applyAlignment="1">
      <alignment horizontal="center" vertical="center"/>
    </xf>
    <xf numFmtId="0" fontId="13" fillId="0" borderId="13" xfId="0" applyFont="1" applyBorder="1" applyAlignment="1">
      <alignment vertical="center"/>
    </xf>
    <xf numFmtId="0" fontId="40" fillId="0" borderId="17" xfId="0" quotePrefix="1" applyFont="1" applyBorder="1" applyAlignment="1">
      <alignment horizontal="center" vertical="center"/>
    </xf>
    <xf numFmtId="0" fontId="40" fillId="0" borderId="17" xfId="0" applyFont="1" applyBorder="1" applyAlignment="1">
      <alignment vertical="center"/>
    </xf>
    <xf numFmtId="166" fontId="16" fillId="0" borderId="0" xfId="0" applyNumberFormat="1" applyFont="1" applyAlignment="1">
      <alignment vertical="center"/>
    </xf>
    <xf numFmtId="166" fontId="7" fillId="0" borderId="0" xfId="0" applyNumberFormat="1" applyFont="1" applyAlignment="1">
      <alignment vertical="center"/>
    </xf>
    <xf numFmtId="0" fontId="14" fillId="0" borderId="30" xfId="0" applyFont="1" applyBorder="1" applyAlignment="1">
      <alignment horizontal="right" vertical="center"/>
    </xf>
    <xf numFmtId="0" fontId="40" fillId="0" borderId="19" xfId="0" applyFont="1" applyBorder="1" applyAlignment="1">
      <alignment horizontal="right" vertical="center"/>
    </xf>
    <xf numFmtId="167" fontId="40" fillId="0" borderId="31" xfId="0" applyNumberFormat="1" applyFont="1" applyBorder="1" applyAlignment="1">
      <alignment vertical="center"/>
    </xf>
    <xf numFmtId="9" fontId="40" fillId="0" borderId="0" xfId="0" applyNumberFormat="1" applyFont="1" applyAlignment="1">
      <alignment vertical="center"/>
    </xf>
    <xf numFmtId="167" fontId="7" fillId="0" borderId="0" xfId="0" applyNumberFormat="1" applyFont="1" applyAlignment="1">
      <alignment vertical="center"/>
    </xf>
    <xf numFmtId="167" fontId="40" fillId="0" borderId="0" xfId="0" applyNumberFormat="1" applyFont="1" applyAlignment="1">
      <alignment vertical="center"/>
    </xf>
    <xf numFmtId="0" fontId="15" fillId="0" borderId="13" xfId="0" applyFont="1" applyBorder="1" applyAlignment="1">
      <alignment vertical="center"/>
    </xf>
    <xf numFmtId="0" fontId="13" fillId="0" borderId="32" xfId="0" applyFont="1" applyBorder="1" applyAlignment="1">
      <alignment vertical="center"/>
    </xf>
    <xf numFmtId="166" fontId="7" fillId="30" borderId="6" xfId="0" applyNumberFormat="1" applyFont="1" applyFill="1" applyBorder="1" applyAlignment="1">
      <alignment vertical="center"/>
    </xf>
    <xf numFmtId="166" fontId="7" fillId="30" borderId="33" xfId="0" applyNumberFormat="1" applyFont="1" applyFill="1" applyBorder="1" applyAlignment="1">
      <alignment vertical="center"/>
    </xf>
    <xf numFmtId="0" fontId="40" fillId="0" borderId="34" xfId="0" applyFont="1" applyBorder="1" applyAlignment="1">
      <alignment vertical="center"/>
    </xf>
    <xf numFmtId="166" fontId="3" fillId="30" borderId="6" xfId="0" applyNumberFormat="1" applyFont="1" applyFill="1" applyBorder="1" applyAlignment="1">
      <alignment vertical="center"/>
    </xf>
    <xf numFmtId="0" fontId="70" fillId="0" borderId="0" xfId="66" applyFont="1" applyFill="1">
      <alignment horizontal="center" vertical="center" wrapText="1"/>
    </xf>
    <xf numFmtId="9" fontId="77" fillId="30" borderId="6" xfId="69" applyNumberFormat="1" applyFont="1" applyFill="1" applyBorder="1" applyAlignment="1" applyProtection="1">
      <alignment vertical="center"/>
    </xf>
    <xf numFmtId="178" fontId="77" fillId="30" borderId="6" xfId="71" applyNumberFormat="1" applyFont="1" applyFill="1" applyBorder="1" applyAlignment="1" applyProtection="1">
      <alignment vertical="center"/>
    </xf>
    <xf numFmtId="181" fontId="77" fillId="30" borderId="6" xfId="71" applyNumberFormat="1" applyFont="1" applyFill="1" applyBorder="1" applyAlignment="1" applyProtection="1">
      <alignment vertical="center"/>
    </xf>
    <xf numFmtId="178" fontId="7" fillId="30" borderId="6" xfId="71" applyNumberFormat="1" applyFill="1" applyBorder="1" applyAlignment="1" applyProtection="1">
      <alignment vertical="center"/>
    </xf>
    <xf numFmtId="179" fontId="7" fillId="30" borderId="6" xfId="71" applyNumberFormat="1" applyFill="1" applyBorder="1" applyAlignment="1" applyProtection="1">
      <alignment vertical="center"/>
    </xf>
    <xf numFmtId="181" fontId="77" fillId="0" borderId="0" xfId="71" applyNumberFormat="1" applyFont="1" applyFill="1" applyBorder="1" applyAlignment="1" applyProtection="1">
      <alignment vertical="center"/>
    </xf>
    <xf numFmtId="179" fontId="7" fillId="0" borderId="0" xfId="71" applyNumberFormat="1" applyFill="1" applyBorder="1" applyAlignment="1" applyProtection="1">
      <alignment vertical="center"/>
    </xf>
    <xf numFmtId="175" fontId="7" fillId="30" borderId="33" xfId="0" applyNumberFormat="1" applyFont="1" applyFill="1" applyBorder="1" applyAlignment="1">
      <alignment vertical="center"/>
    </xf>
    <xf numFmtId="175" fontId="7" fillId="30" borderId="6" xfId="0" applyNumberFormat="1" applyFont="1" applyFill="1" applyBorder="1" applyAlignment="1">
      <alignment vertical="center"/>
    </xf>
    <xf numFmtId="176" fontId="3" fillId="30" borderId="6" xfId="0" applyNumberFormat="1" applyFont="1" applyFill="1" applyBorder="1" applyAlignment="1">
      <alignment vertical="center"/>
    </xf>
    <xf numFmtId="176" fontId="7" fillId="30" borderId="6" xfId="0" applyNumberFormat="1" applyFont="1" applyFill="1" applyBorder="1" applyAlignment="1">
      <alignment vertical="center"/>
    </xf>
    <xf numFmtId="175" fontId="5" fillId="0" borderId="0" xfId="0" applyNumberFormat="1" applyFont="1" applyAlignment="1">
      <alignment horizontal="right" vertical="center"/>
    </xf>
    <xf numFmtId="166" fontId="53" fillId="0" borderId="29" xfId="0" applyNumberFormat="1" applyFont="1" applyBorder="1" applyAlignment="1">
      <alignment horizontal="left" vertical="center"/>
    </xf>
    <xf numFmtId="166" fontId="3" fillId="30" borderId="33" xfId="0" applyNumberFormat="1" applyFont="1" applyFill="1" applyBorder="1" applyAlignment="1">
      <alignment vertical="center"/>
    </xf>
    <xf numFmtId="166" fontId="72" fillId="0" borderId="23" xfId="0" applyNumberFormat="1" applyFont="1" applyBorder="1" applyAlignment="1">
      <alignment vertical="center"/>
    </xf>
    <xf numFmtId="0" fontId="78" fillId="0" borderId="14" xfId="0" applyFont="1" applyBorder="1" applyAlignment="1">
      <alignment vertical="center"/>
    </xf>
    <xf numFmtId="0" fontId="78" fillId="0" borderId="0" xfId="0" applyFont="1" applyAlignment="1">
      <alignment horizontal="right" vertical="center"/>
    </xf>
    <xf numFmtId="0" fontId="79" fillId="0" borderId="0" xfId="0" applyFont="1" applyAlignment="1">
      <alignment vertical="center"/>
    </xf>
    <xf numFmtId="0" fontId="80" fillId="0" borderId="0" xfId="0" applyFont="1" applyAlignment="1">
      <alignment horizontal="center" vertical="center"/>
    </xf>
    <xf numFmtId="0" fontId="78" fillId="0" borderId="13" xfId="0" applyFont="1" applyBorder="1" applyAlignment="1">
      <alignment vertical="center"/>
    </xf>
    <xf numFmtId="166" fontId="41" fillId="0" borderId="0" xfId="0" applyNumberFormat="1" applyFont="1" applyAlignment="1">
      <alignment vertical="center"/>
    </xf>
    <xf numFmtId="0" fontId="13" fillId="0" borderId="18" xfId="0" applyFont="1" applyBorder="1" applyAlignment="1">
      <alignment vertical="center"/>
    </xf>
    <xf numFmtId="174" fontId="40" fillId="30" borderId="6" xfId="0" applyNumberFormat="1" applyFont="1" applyFill="1" applyBorder="1" applyAlignment="1">
      <alignment vertical="center"/>
    </xf>
    <xf numFmtId="183" fontId="40" fillId="30" borderId="6" xfId="0" applyNumberFormat="1" applyFont="1" applyFill="1" applyBorder="1" applyAlignment="1" applyProtection="1">
      <alignment vertical="center"/>
      <protection locked="0" hidden="1"/>
    </xf>
    <xf numFmtId="167" fontId="7" fillId="30" borderId="6" xfId="0" applyNumberFormat="1" applyFont="1" applyFill="1" applyBorder="1" applyAlignment="1">
      <alignment vertical="center"/>
    </xf>
    <xf numFmtId="0" fontId="13" fillId="0" borderId="0" xfId="0" applyFont="1" applyAlignment="1">
      <alignment vertical="center"/>
    </xf>
    <xf numFmtId="0" fontId="40" fillId="0" borderId="33" xfId="0" quotePrefix="1" applyFont="1" applyBorder="1" applyAlignment="1">
      <alignment horizontal="center" vertical="center"/>
    </xf>
    <xf numFmtId="0" fontId="3" fillId="0" borderId="32" xfId="0" applyFont="1" applyBorder="1" applyAlignment="1">
      <alignment vertical="center"/>
    </xf>
    <xf numFmtId="49" fontId="5" fillId="0" borderId="16" xfId="67" applyNumberFormat="1" applyFill="1" applyBorder="1" applyProtection="1">
      <alignment vertical="center"/>
    </xf>
    <xf numFmtId="0" fontId="14" fillId="0" borderId="17" xfId="0" applyFont="1" applyBorder="1" applyAlignment="1">
      <alignment horizontal="right" vertical="center"/>
    </xf>
    <xf numFmtId="174" fontId="40" fillId="0" borderId="17" xfId="0" applyNumberFormat="1" applyFont="1" applyBorder="1" applyAlignment="1">
      <alignment vertical="center"/>
    </xf>
    <xf numFmtId="167" fontId="7" fillId="0" borderId="17" xfId="0" applyNumberFormat="1" applyFont="1" applyBorder="1" applyAlignment="1">
      <alignment vertical="center"/>
    </xf>
    <xf numFmtId="0" fontId="3" fillId="0" borderId="18" xfId="0" applyFont="1" applyBorder="1" applyAlignment="1">
      <alignment vertical="center"/>
    </xf>
    <xf numFmtId="167" fontId="16" fillId="0" borderId="29" xfId="0" applyNumberFormat="1" applyFont="1" applyBorder="1" applyAlignment="1">
      <alignment vertical="center"/>
    </xf>
    <xf numFmtId="0" fontId="3" fillId="0" borderId="16" xfId="67" applyFont="1" applyFill="1" applyBorder="1" applyProtection="1">
      <alignment vertical="center"/>
    </xf>
    <xf numFmtId="0" fontId="42" fillId="0" borderId="17" xfId="67" applyFont="1" applyFill="1" applyBorder="1" applyProtection="1">
      <alignment vertical="center"/>
    </xf>
    <xf numFmtId="166" fontId="16" fillId="0" borderId="17" xfId="0" applyNumberFormat="1" applyFont="1" applyBorder="1" applyAlignment="1">
      <alignment vertical="center"/>
    </xf>
    <xf numFmtId="0" fontId="40" fillId="0" borderId="17" xfId="0" applyFont="1" applyBorder="1" applyAlignment="1">
      <alignment horizontal="center" vertical="center"/>
    </xf>
    <xf numFmtId="166" fontId="3" fillId="0" borderId="17" xfId="0" applyNumberFormat="1" applyFont="1" applyBorder="1" applyAlignment="1">
      <alignment vertical="center"/>
    </xf>
    <xf numFmtId="166" fontId="3" fillId="30" borderId="20" xfId="0" applyNumberFormat="1" applyFont="1" applyFill="1" applyBorder="1" applyAlignment="1">
      <alignment vertical="center"/>
    </xf>
    <xf numFmtId="167" fontId="7" fillId="0" borderId="28" xfId="0" applyNumberFormat="1" applyFont="1" applyBorder="1" applyAlignment="1">
      <alignment vertical="center"/>
    </xf>
    <xf numFmtId="0" fontId="80" fillId="0" borderId="0" xfId="66" applyFont="1" applyFill="1">
      <alignment horizontal="center" vertical="center" wrapText="1"/>
    </xf>
    <xf numFmtId="0" fontId="72" fillId="0" borderId="0" xfId="68" applyFont="1" applyFill="1" applyBorder="1" applyProtection="1">
      <alignment vertical="center"/>
    </xf>
    <xf numFmtId="166" fontId="80" fillId="0" borderId="0" xfId="0" applyNumberFormat="1" applyFont="1" applyAlignment="1">
      <alignment vertical="center"/>
    </xf>
    <xf numFmtId="0" fontId="3" fillId="0" borderId="13" xfId="0" applyFont="1" applyBorder="1" applyAlignment="1">
      <alignment vertical="center"/>
    </xf>
    <xf numFmtId="167" fontId="3" fillId="30" borderId="33" xfId="0" applyNumberFormat="1" applyFont="1" applyFill="1" applyBorder="1" applyAlignment="1">
      <alignment vertical="center"/>
    </xf>
    <xf numFmtId="167" fontId="3" fillId="30" borderId="6" xfId="0" applyNumberFormat="1" applyFont="1" applyFill="1" applyBorder="1" applyAlignment="1">
      <alignment vertical="center"/>
    </xf>
    <xf numFmtId="167" fontId="3" fillId="30" borderId="34" xfId="0" applyNumberFormat="1" applyFont="1" applyFill="1" applyBorder="1" applyAlignment="1">
      <alignment vertical="center"/>
    </xf>
    <xf numFmtId="0" fontId="15" fillId="0" borderId="18" xfId="0" applyFont="1" applyBorder="1" applyAlignment="1">
      <alignment vertical="center"/>
    </xf>
    <xf numFmtId="0" fontId="15" fillId="0" borderId="35" xfId="0" applyFont="1" applyBorder="1" applyAlignment="1">
      <alignment vertical="center"/>
    </xf>
    <xf numFmtId="0" fontId="81" fillId="0" borderId="0" xfId="67" applyFont="1" applyFill="1" applyBorder="1" applyAlignment="1" applyProtection="1">
      <alignment horizontal="right" vertical="center"/>
    </xf>
    <xf numFmtId="166" fontId="45" fillId="0" borderId="28" xfId="0" applyNumberFormat="1" applyFont="1" applyBorder="1" applyAlignment="1">
      <alignment vertical="center"/>
    </xf>
    <xf numFmtId="169" fontId="3" fillId="0" borderId="0" xfId="0" applyNumberFormat="1" applyFont="1" applyAlignment="1">
      <alignment horizontal="center"/>
    </xf>
    <xf numFmtId="0" fontId="0" fillId="31" borderId="36" xfId="0" applyFill="1" applyBorder="1" applyAlignment="1">
      <alignment horizontal="center"/>
    </xf>
    <xf numFmtId="0" fontId="0" fillId="31" borderId="37" xfId="0" applyFill="1" applyBorder="1" applyAlignment="1">
      <alignment horizontal="center"/>
    </xf>
    <xf numFmtId="177" fontId="81" fillId="31" borderId="33" xfId="69" applyNumberFormat="1" applyFont="1" applyFill="1" applyBorder="1" applyProtection="1">
      <alignment horizontal="right"/>
    </xf>
    <xf numFmtId="173" fontId="81" fillId="28" borderId="33" xfId="71" applyFont="1" applyFill="1" applyBorder="1" applyProtection="1">
      <alignment horizontal="right"/>
    </xf>
    <xf numFmtId="0" fontId="5" fillId="0" borderId="38" xfId="67" applyFill="1" applyBorder="1" applyAlignment="1" applyProtection="1">
      <alignment horizontal="center" vertical="center"/>
    </xf>
    <xf numFmtId="0" fontId="5" fillId="0" borderId="39" xfId="67" applyFill="1" applyBorder="1" applyAlignment="1" applyProtection="1">
      <alignment horizontal="center" vertical="center" wrapText="1"/>
    </xf>
    <xf numFmtId="0" fontId="5" fillId="0" borderId="40" xfId="0" applyFont="1" applyBorder="1" applyAlignment="1">
      <alignment horizontal="center" vertical="center" wrapText="1"/>
    </xf>
    <xf numFmtId="173" fontId="7" fillId="28" borderId="41" xfId="71" applyFill="1" applyBorder="1" applyProtection="1">
      <alignment horizontal="right"/>
    </xf>
    <xf numFmtId="173" fontId="7" fillId="28" borderId="42" xfId="71" applyFill="1" applyBorder="1" applyProtection="1">
      <alignment horizontal="right"/>
    </xf>
    <xf numFmtId="0" fontId="82" fillId="0" borderId="0" xfId="0" applyFont="1"/>
    <xf numFmtId="0" fontId="71" fillId="0" borderId="0" xfId="0" applyFont="1" applyAlignment="1">
      <alignment vertical="center" wrapText="1"/>
    </xf>
    <xf numFmtId="0" fontId="19" fillId="0" borderId="20" xfId="66" applyFont="1" applyFill="1" applyBorder="1">
      <alignment horizontal="center" vertical="center" wrapText="1"/>
    </xf>
    <xf numFmtId="0" fontId="4" fillId="0" borderId="20" xfId="66" applyFont="1" applyFill="1" applyBorder="1">
      <alignment horizontal="center" vertical="center" wrapText="1"/>
    </xf>
    <xf numFmtId="0" fontId="4" fillId="0" borderId="19" xfId="66" applyFont="1" applyFill="1" applyBorder="1">
      <alignment horizontal="center" vertical="center" wrapText="1"/>
    </xf>
    <xf numFmtId="0" fontId="4" fillId="0" borderId="23" xfId="66" applyFont="1" applyFill="1" applyBorder="1">
      <alignment horizontal="center" vertical="center" wrapText="1"/>
    </xf>
    <xf numFmtId="0" fontId="5" fillId="0" borderId="6" xfId="66" applyFill="1" applyBorder="1">
      <alignment horizontal="center" vertical="center" wrapText="1"/>
    </xf>
    <xf numFmtId="0" fontId="5" fillId="0" borderId="34" xfId="66" applyFill="1" applyBorder="1">
      <alignment horizontal="center" vertical="center" wrapText="1"/>
    </xf>
    <xf numFmtId="0" fontId="5" fillId="0" borderId="24" xfId="66" applyFill="1" applyBorder="1" applyAlignment="1">
      <alignment vertical="center" wrapText="1"/>
    </xf>
    <xf numFmtId="166" fontId="53" fillId="30" borderId="20" xfId="0" applyNumberFormat="1" applyFont="1" applyFill="1" applyBorder="1" applyAlignment="1">
      <alignment vertical="center"/>
    </xf>
    <xf numFmtId="0" fontId="53" fillId="30" borderId="20" xfId="0" applyFont="1" applyFill="1" applyBorder="1" applyAlignment="1">
      <alignment vertical="center"/>
    </xf>
    <xf numFmtId="0" fontId="0" fillId="0" borderId="43" xfId="0" applyBorder="1"/>
    <xf numFmtId="181" fontId="7" fillId="0" borderId="0" xfId="69" applyNumberFormat="1" applyFill="1" applyBorder="1" applyAlignment="1" applyProtection="1">
      <alignment vertical="center"/>
    </xf>
    <xf numFmtId="182" fontId="7" fillId="0" borderId="0" xfId="71" quotePrefix="1" applyNumberFormat="1" applyFill="1" applyBorder="1" applyAlignment="1" applyProtection="1">
      <alignment vertical="center"/>
    </xf>
    <xf numFmtId="169" fontId="7" fillId="0" borderId="0" xfId="0" applyNumberFormat="1" applyFont="1" applyAlignment="1">
      <alignment horizontal="right"/>
    </xf>
    <xf numFmtId="178" fontId="77" fillId="0" borderId="0" xfId="69" applyNumberFormat="1" applyFont="1" applyFill="1" applyBorder="1" applyAlignment="1" applyProtection="1">
      <alignment vertical="center"/>
    </xf>
    <xf numFmtId="3" fontId="0" fillId="0" borderId="31" xfId="0" applyNumberFormat="1" applyBorder="1" applyAlignment="1">
      <alignment horizontal="center"/>
    </xf>
    <xf numFmtId="3" fontId="0" fillId="0" borderId="33" xfId="0" applyNumberFormat="1" applyBorder="1" applyAlignment="1">
      <alignment horizontal="center"/>
    </xf>
    <xf numFmtId="3" fontId="3" fillId="0" borderId="34" xfId="0" applyNumberFormat="1" applyFont="1" applyBorder="1" applyAlignment="1">
      <alignment horizontal="center"/>
    </xf>
    <xf numFmtId="169" fontId="0" fillId="0" borderId="34" xfId="0" applyNumberFormat="1" applyBorder="1" applyAlignment="1">
      <alignment horizontal="center"/>
    </xf>
    <xf numFmtId="0" fontId="3" fillId="0" borderId="44" xfId="0" applyFont="1" applyBorder="1" applyAlignment="1">
      <alignment horizontal="center"/>
    </xf>
    <xf numFmtId="1" fontId="0" fillId="0" borderId="34" xfId="0" applyNumberFormat="1" applyBorder="1" applyAlignment="1">
      <alignment horizontal="center"/>
    </xf>
    <xf numFmtId="0" fontId="0" fillId="0" borderId="34" xfId="0" applyBorder="1" applyAlignment="1">
      <alignment horizontal="center"/>
    </xf>
    <xf numFmtId="174" fontId="3" fillId="0" borderId="34" xfId="79" applyFont="1" applyFill="1" applyBorder="1" applyAlignment="1" applyProtection="1">
      <alignment horizontal="center"/>
    </xf>
    <xf numFmtId="174" fontId="3" fillId="0" borderId="34" xfId="79" applyFill="1" applyBorder="1" applyAlignment="1" applyProtection="1">
      <alignment horizontal="center"/>
    </xf>
    <xf numFmtId="174" fontId="3" fillId="0" borderId="24" xfId="79" applyFill="1" applyBorder="1" applyAlignment="1" applyProtection="1">
      <alignment horizontal="center"/>
    </xf>
    <xf numFmtId="0" fontId="0" fillId="0" borderId="28" xfId="0" applyBorder="1" applyAlignment="1">
      <alignment horizontal="center"/>
    </xf>
    <xf numFmtId="1" fontId="0" fillId="0" borderId="31" xfId="0" applyNumberFormat="1" applyBorder="1" applyAlignment="1">
      <alignment horizontal="center"/>
    </xf>
    <xf numFmtId="0" fontId="0" fillId="0" borderId="31" xfId="0" applyBorder="1" applyAlignment="1">
      <alignment horizontal="center"/>
    </xf>
    <xf numFmtId="174" fontId="3" fillId="0" borderId="31" xfId="79" applyFont="1" applyFill="1" applyBorder="1" applyAlignment="1" applyProtection="1">
      <alignment horizontal="center"/>
    </xf>
    <xf numFmtId="174" fontId="3" fillId="0" borderId="31" xfId="79" applyFill="1" applyBorder="1" applyAlignment="1" applyProtection="1">
      <alignment horizontal="center"/>
    </xf>
    <xf numFmtId="174" fontId="3" fillId="0" borderId="30" xfId="79" applyFill="1" applyBorder="1" applyAlignment="1" applyProtection="1">
      <alignment horizontal="center"/>
    </xf>
    <xf numFmtId="0" fontId="0" fillId="0" borderId="22" xfId="0" applyBorder="1" applyAlignment="1">
      <alignment horizontal="center"/>
    </xf>
    <xf numFmtId="1" fontId="0" fillId="0" borderId="33" xfId="0" applyNumberFormat="1" applyBorder="1" applyAlignment="1">
      <alignment horizontal="center"/>
    </xf>
    <xf numFmtId="0" fontId="0" fillId="0" borderId="33" xfId="0" applyBorder="1" applyAlignment="1">
      <alignment horizontal="center"/>
    </xf>
    <xf numFmtId="174" fontId="3" fillId="0" borderId="33" xfId="79" applyFont="1" applyFill="1" applyBorder="1" applyAlignment="1" applyProtection="1">
      <alignment horizontal="center"/>
    </xf>
    <xf numFmtId="174" fontId="3" fillId="0" borderId="33" xfId="79" applyFill="1" applyBorder="1" applyAlignment="1" applyProtection="1">
      <alignment horizontal="center"/>
    </xf>
    <xf numFmtId="174" fontId="3" fillId="0" borderId="21" xfId="79" applyFill="1" applyBorder="1" applyAlignment="1" applyProtection="1">
      <alignment horizontal="center"/>
    </xf>
    <xf numFmtId="0" fontId="81" fillId="0" borderId="0" xfId="68" applyFont="1" applyFill="1" applyBorder="1" applyAlignment="1" applyProtection="1">
      <alignment horizontal="right" vertical="center"/>
    </xf>
    <xf numFmtId="166" fontId="3" fillId="30" borderId="33" xfId="0" applyNumberFormat="1" applyFont="1" applyFill="1" applyBorder="1" applyAlignment="1">
      <alignment horizontal="right" vertical="center"/>
    </xf>
    <xf numFmtId="180" fontId="40" fillId="0" borderId="0" xfId="0" applyNumberFormat="1" applyFont="1" applyAlignment="1">
      <alignment vertical="center"/>
    </xf>
    <xf numFmtId="0" fontId="5" fillId="0" borderId="15" xfId="67" applyFill="1" applyBorder="1" applyAlignment="1" applyProtection="1"/>
    <xf numFmtId="0" fontId="5" fillId="0" borderId="0" xfId="67" applyFill="1" applyBorder="1" applyAlignment="1" applyProtection="1">
      <alignment horizontal="center"/>
    </xf>
    <xf numFmtId="180" fontId="7" fillId="0" borderId="0" xfId="69" applyNumberFormat="1" applyFill="1" applyBorder="1" applyAlignment="1" applyProtection="1">
      <alignment horizontal="center"/>
    </xf>
    <xf numFmtId="0" fontId="40" fillId="0" borderId="0" xfId="0" applyFont="1"/>
    <xf numFmtId="181" fontId="7" fillId="0" borderId="0" xfId="71" applyNumberFormat="1" applyFill="1" applyBorder="1" applyAlignment="1" applyProtection="1">
      <alignment horizontal="center"/>
    </xf>
    <xf numFmtId="0" fontId="5" fillId="0" borderId="4" xfId="67" applyFill="1" applyAlignment="1" applyProtection="1"/>
    <xf numFmtId="166" fontId="7" fillId="0" borderId="34" xfId="0" applyNumberFormat="1" applyFont="1" applyBorder="1" applyAlignment="1">
      <alignment vertical="center"/>
    </xf>
    <xf numFmtId="0" fontId="40" fillId="0" borderId="44" xfId="0" applyFont="1" applyBorder="1" applyAlignment="1">
      <alignment vertical="center"/>
    </xf>
    <xf numFmtId="0" fontId="40" fillId="0" borderId="45" xfId="0" applyFont="1" applyBorder="1" applyAlignment="1">
      <alignment vertical="center"/>
    </xf>
    <xf numFmtId="0" fontId="40" fillId="0" borderId="24" xfId="0" applyFont="1" applyBorder="1" applyAlignment="1">
      <alignment vertical="center"/>
    </xf>
    <xf numFmtId="0" fontId="72" fillId="0" borderId="14" xfId="68" applyFont="1" applyFill="1" applyBorder="1" applyProtection="1">
      <alignment vertical="center"/>
    </xf>
    <xf numFmtId="0" fontId="72" fillId="0" borderId="0" xfId="68" applyFont="1" applyFill="1" applyBorder="1" applyAlignment="1" applyProtection="1">
      <alignment horizontal="right" vertical="center"/>
    </xf>
    <xf numFmtId="166" fontId="80" fillId="0" borderId="0" xfId="0" applyNumberFormat="1" applyFont="1" applyAlignment="1">
      <alignment horizontal="right" vertical="center"/>
    </xf>
    <xf numFmtId="0" fontId="69" fillId="0" borderId="14" xfId="68" applyFont="1" applyFill="1" applyBorder="1" applyProtection="1">
      <alignment vertical="center"/>
    </xf>
    <xf numFmtId="0" fontId="3" fillId="0" borderId="0" xfId="0" applyFont="1" applyAlignment="1">
      <alignment vertical="center"/>
    </xf>
    <xf numFmtId="168" fontId="3" fillId="0" borderId="0" xfId="76" applyFont="1" applyAlignment="1">
      <alignment vertical="center"/>
    </xf>
    <xf numFmtId="168" fontId="3" fillId="0" borderId="0" xfId="76" applyFont="1" applyAlignment="1">
      <alignment horizontal="center" vertical="center"/>
    </xf>
    <xf numFmtId="168" fontId="3" fillId="0" borderId="0" xfId="76" applyFont="1"/>
    <xf numFmtId="168" fontId="20" fillId="0" borderId="0" xfId="76" applyAlignment="1">
      <alignment vertical="center"/>
    </xf>
    <xf numFmtId="168" fontId="54" fillId="29" borderId="0" xfId="76" applyFont="1" applyFill="1" applyAlignment="1">
      <alignment horizontal="center" vertical="center"/>
    </xf>
    <xf numFmtId="168" fontId="3" fillId="0" borderId="6" xfId="76" applyFont="1" applyBorder="1" applyAlignment="1">
      <alignment vertical="center"/>
    </xf>
    <xf numFmtId="168" fontId="3" fillId="29" borderId="0" xfId="76" applyFont="1" applyFill="1" applyAlignment="1">
      <alignment horizontal="left" vertical="center"/>
    </xf>
    <xf numFmtId="2" fontId="3" fillId="28" borderId="41" xfId="76" applyNumberFormat="1" applyFont="1" applyFill="1" applyBorder="1" applyAlignment="1">
      <alignment vertical="center"/>
    </xf>
    <xf numFmtId="168" fontId="20" fillId="29" borderId="0" xfId="76" applyFill="1" applyAlignment="1">
      <alignment horizontal="left" vertical="center"/>
    </xf>
    <xf numFmtId="168" fontId="3" fillId="0" borderId="23" xfId="76" applyFont="1" applyBorder="1" applyAlignment="1">
      <alignment vertical="center"/>
    </xf>
    <xf numFmtId="2" fontId="3" fillId="28" borderId="42" xfId="76" applyNumberFormat="1" applyFont="1" applyFill="1" applyBorder="1" applyAlignment="1">
      <alignment vertical="center"/>
    </xf>
    <xf numFmtId="4" fontId="5" fillId="0" borderId="0" xfId="76" applyNumberFormat="1" applyFont="1" applyAlignment="1" applyProtection="1">
      <alignment vertical="center"/>
      <protection hidden="1"/>
    </xf>
    <xf numFmtId="4" fontId="5" fillId="0" borderId="0" xfId="76" applyNumberFormat="1" applyFont="1" applyAlignment="1">
      <alignment vertical="center"/>
    </xf>
    <xf numFmtId="4" fontId="5" fillId="29" borderId="19" xfId="76" applyNumberFormat="1" applyFont="1" applyFill="1" applyBorder="1" applyAlignment="1" applyProtection="1">
      <alignment vertical="center"/>
      <protection locked="0"/>
    </xf>
    <xf numFmtId="168" fontId="5" fillId="0" borderId="0" xfId="76" applyFont="1" applyAlignment="1" applyProtection="1">
      <alignment vertical="center"/>
      <protection locked="0"/>
    </xf>
    <xf numFmtId="4" fontId="5" fillId="28" borderId="19" xfId="76" applyNumberFormat="1" applyFont="1" applyFill="1" applyBorder="1" applyAlignment="1" applyProtection="1">
      <alignment vertical="center"/>
      <protection locked="0"/>
    </xf>
    <xf numFmtId="4" fontId="5" fillId="28" borderId="46" xfId="76" applyNumberFormat="1" applyFont="1" applyFill="1" applyBorder="1" applyAlignment="1" applyProtection="1">
      <alignment vertical="center"/>
      <protection locked="0"/>
    </xf>
    <xf numFmtId="168" fontId="20" fillId="28" borderId="0" xfId="76" applyFill="1" applyAlignment="1" applyProtection="1">
      <alignment vertical="center"/>
      <protection locked="0"/>
    </xf>
    <xf numFmtId="168" fontId="3" fillId="28" borderId="0" xfId="76" applyFont="1" applyFill="1" applyAlignment="1" applyProtection="1">
      <alignment vertical="center"/>
      <protection locked="0"/>
    </xf>
    <xf numFmtId="168" fontId="5" fillId="0" borderId="0" xfId="76" applyFont="1" applyAlignment="1">
      <alignment vertical="center"/>
    </xf>
    <xf numFmtId="168" fontId="5" fillId="0" borderId="0" xfId="76" applyFont="1" applyAlignment="1">
      <alignment horizontal="left" vertical="center"/>
    </xf>
    <xf numFmtId="168" fontId="3" fillId="0" borderId="0" xfId="76" applyFont="1" applyAlignment="1" applyProtection="1">
      <alignment vertical="center"/>
      <protection locked="0"/>
    </xf>
    <xf numFmtId="168" fontId="3" fillId="0" borderId="0" xfId="76" applyFont="1" applyAlignment="1" applyProtection="1">
      <alignment vertical="center"/>
      <protection hidden="1"/>
    </xf>
    <xf numFmtId="3" fontId="5" fillId="0" borderId="0" xfId="76" applyNumberFormat="1" applyFont="1" applyAlignment="1">
      <alignment vertical="center"/>
    </xf>
    <xf numFmtId="168" fontId="5" fillId="0" borderId="0" xfId="76" applyFont="1" applyAlignment="1" applyProtection="1">
      <alignment horizontal="center" vertical="center"/>
      <protection hidden="1"/>
    </xf>
    <xf numFmtId="168" fontId="5" fillId="0" borderId="0" xfId="76" applyFont="1" applyAlignment="1">
      <alignment horizontal="center" vertical="center"/>
    </xf>
    <xf numFmtId="0" fontId="3" fillId="0" borderId="0" xfId="0" applyFont="1" applyAlignment="1">
      <alignment horizontal="center" vertical="center"/>
    </xf>
    <xf numFmtId="168" fontId="82" fillId="0" borderId="0" xfId="76" applyFont="1" applyAlignment="1">
      <alignment vertical="center"/>
    </xf>
    <xf numFmtId="168" fontId="5" fillId="0" borderId="0" xfId="76" applyFont="1" applyAlignment="1">
      <alignment horizontal="right" vertical="center"/>
    </xf>
    <xf numFmtId="165" fontId="3" fillId="28" borderId="47" xfId="76" applyNumberFormat="1" applyFont="1" applyFill="1" applyBorder="1" applyAlignment="1" applyProtection="1">
      <alignment vertical="center"/>
      <protection hidden="1"/>
    </xf>
    <xf numFmtId="168" fontId="5" fillId="28" borderId="0" xfId="76" applyFont="1" applyFill="1" applyAlignment="1" applyProtection="1">
      <alignment vertical="center"/>
      <protection locked="0"/>
    </xf>
    <xf numFmtId="168" fontId="83" fillId="0" borderId="0" xfId="76" applyFont="1" applyAlignment="1">
      <alignment vertical="center"/>
    </xf>
    <xf numFmtId="3" fontId="5" fillId="0" borderId="0" xfId="76" applyNumberFormat="1" applyFont="1" applyAlignment="1" applyProtection="1">
      <alignment vertical="center"/>
      <protection hidden="1"/>
    </xf>
    <xf numFmtId="0" fontId="3" fillId="0" borderId="0" xfId="0" applyFont="1" applyAlignment="1" applyProtection="1">
      <alignment vertical="center"/>
      <protection hidden="1"/>
    </xf>
    <xf numFmtId="174" fontId="5" fillId="28" borderId="47" xfId="79" applyFont="1" applyFill="1" applyBorder="1" applyAlignment="1" applyProtection="1">
      <alignment horizontal="right" vertical="center"/>
      <protection hidden="1"/>
    </xf>
    <xf numFmtId="174" fontId="5" fillId="28" borderId="47" xfId="79" applyFont="1" applyFill="1" applyBorder="1" applyAlignment="1" applyProtection="1">
      <alignment horizontal="right" vertical="center"/>
    </xf>
    <xf numFmtId="9" fontId="3" fillId="28" borderId="47" xfId="76" applyNumberFormat="1" applyFont="1" applyFill="1" applyBorder="1" applyAlignment="1" applyProtection="1">
      <alignment vertical="center"/>
      <protection hidden="1"/>
    </xf>
    <xf numFmtId="168" fontId="84" fillId="0" borderId="0" xfId="76" applyFont="1" applyAlignment="1">
      <alignment vertical="center"/>
    </xf>
    <xf numFmtId="0" fontId="3" fillId="0" borderId="0" xfId="0" applyFont="1"/>
    <xf numFmtId="2" fontId="3" fillId="0" borderId="0" xfId="76" applyNumberFormat="1" applyFont="1"/>
    <xf numFmtId="168" fontId="5" fillId="0" borderId="0" xfId="76" applyFont="1"/>
    <xf numFmtId="168" fontId="80" fillId="0" borderId="0" xfId="76" applyFont="1" applyAlignment="1">
      <alignment horizontal="left"/>
    </xf>
    <xf numFmtId="168" fontId="53" fillId="0" borderId="31" xfId="76" applyFont="1" applyBorder="1" applyAlignment="1">
      <alignment horizontal="center"/>
    </xf>
    <xf numFmtId="168" fontId="55" fillId="0" borderId="48" xfId="76" applyFont="1" applyBorder="1" applyAlignment="1">
      <alignment horizontal="center" vertical="center"/>
    </xf>
    <xf numFmtId="168" fontId="55" fillId="0" borderId="27" xfId="76" applyFont="1" applyBorder="1" applyAlignment="1">
      <alignment horizontal="center" vertical="center"/>
    </xf>
    <xf numFmtId="168" fontId="55" fillId="0" borderId="39" xfId="76" applyFont="1" applyBorder="1" applyAlignment="1">
      <alignment horizontal="center" vertical="center"/>
    </xf>
    <xf numFmtId="168" fontId="55" fillId="0" borderId="39" xfId="76" applyFont="1" applyBorder="1" applyAlignment="1" applyProtection="1">
      <alignment horizontal="center" vertical="center"/>
      <protection locked="0"/>
    </xf>
    <xf numFmtId="168" fontId="55" fillId="0" borderId="49" xfId="76" applyFont="1" applyBorder="1" applyAlignment="1" applyProtection="1">
      <alignment horizontal="center" vertical="center"/>
      <protection locked="0"/>
    </xf>
    <xf numFmtId="168" fontId="55" fillId="0" borderId="40" xfId="76" applyFont="1" applyBorder="1" applyAlignment="1">
      <alignment horizontal="center" vertical="center"/>
    </xf>
    <xf numFmtId="168" fontId="20" fillId="0" borderId="0" xfId="76"/>
    <xf numFmtId="4" fontId="3" fillId="28" borderId="6" xfId="76" applyNumberFormat="1" applyFont="1" applyFill="1" applyBorder="1" applyAlignment="1" applyProtection="1">
      <alignment vertical="center"/>
      <protection locked="0"/>
    </xf>
    <xf numFmtId="4" fontId="3" fillId="28" borderId="23" xfId="76" applyNumberFormat="1" applyFont="1" applyFill="1" applyBorder="1" applyAlignment="1" applyProtection="1">
      <alignment vertical="center"/>
      <protection locked="0"/>
    </xf>
    <xf numFmtId="170" fontId="3" fillId="28" borderId="6" xfId="76" applyNumberFormat="1" applyFont="1" applyFill="1" applyBorder="1" applyAlignment="1">
      <alignment vertical="center"/>
    </xf>
    <xf numFmtId="168" fontId="3" fillId="0" borderId="6" xfId="76" quotePrefix="1" applyFont="1" applyBorder="1" applyAlignment="1">
      <alignment horizontal="center" vertical="center"/>
    </xf>
    <xf numFmtId="170" fontId="3" fillId="28" borderId="41" xfId="76" applyNumberFormat="1" applyFont="1" applyFill="1" applyBorder="1" applyAlignment="1">
      <alignment vertical="center"/>
    </xf>
    <xf numFmtId="168" fontId="3" fillId="0" borderId="6" xfId="76" applyFont="1" applyBorder="1" applyAlignment="1">
      <alignment horizontal="center" vertical="center"/>
    </xf>
    <xf numFmtId="168" fontId="56" fillId="0" borderId="0" xfId="76" applyFont="1" applyAlignment="1">
      <alignment vertical="center"/>
    </xf>
    <xf numFmtId="168" fontId="55" fillId="0" borderId="0" xfId="76" applyFont="1" applyAlignment="1">
      <alignment vertical="center"/>
    </xf>
    <xf numFmtId="168" fontId="3" fillId="0" borderId="0" xfId="76" applyFont="1" applyAlignment="1">
      <alignment horizontal="center"/>
    </xf>
    <xf numFmtId="4" fontId="3" fillId="28" borderId="50" xfId="76" applyNumberFormat="1" applyFont="1" applyFill="1" applyBorder="1" applyAlignment="1" applyProtection="1">
      <alignment vertical="center"/>
      <protection locked="0"/>
    </xf>
    <xf numFmtId="4" fontId="3" fillId="28" borderId="29" xfId="76" applyNumberFormat="1" applyFont="1" applyFill="1" applyBorder="1" applyAlignment="1" applyProtection="1">
      <alignment vertical="center"/>
      <protection locked="0"/>
    </xf>
    <xf numFmtId="170" fontId="3" fillId="28" borderId="50" xfId="76" applyNumberFormat="1" applyFont="1" applyFill="1" applyBorder="1" applyAlignment="1">
      <alignment vertical="center"/>
    </xf>
    <xf numFmtId="168" fontId="3" fillId="0" borderId="50" xfId="76" applyFont="1" applyBorder="1" applyAlignment="1">
      <alignment horizontal="center" vertical="center"/>
    </xf>
    <xf numFmtId="170" fontId="3" fillId="28" borderId="42" xfId="76" applyNumberFormat="1" applyFont="1" applyFill="1" applyBorder="1" applyAlignment="1">
      <alignment vertical="center"/>
    </xf>
    <xf numFmtId="168" fontId="5" fillId="0" borderId="0" xfId="76" applyFont="1" applyAlignment="1">
      <alignment horizontal="right"/>
    </xf>
    <xf numFmtId="2" fontId="5" fillId="28" borderId="47" xfId="76" applyNumberFormat="1" applyFont="1" applyFill="1" applyBorder="1" applyAlignment="1">
      <alignment vertical="center"/>
    </xf>
    <xf numFmtId="4" fontId="5" fillId="28" borderId="18" xfId="76" applyNumberFormat="1" applyFont="1" applyFill="1" applyBorder="1" applyProtection="1">
      <protection locked="0"/>
    </xf>
    <xf numFmtId="4" fontId="5" fillId="28" borderId="0" xfId="76" applyNumberFormat="1" applyFont="1" applyFill="1" applyProtection="1">
      <protection locked="0"/>
    </xf>
    <xf numFmtId="168" fontId="5" fillId="0" borderId="0" xfId="76" applyFont="1" applyAlignment="1">
      <alignment horizontal="center"/>
    </xf>
    <xf numFmtId="168" fontId="3" fillId="28" borderId="47" xfId="76" quotePrefix="1" applyFont="1" applyFill="1" applyBorder="1" applyAlignment="1">
      <alignment horizontal="center" vertical="center"/>
    </xf>
    <xf numFmtId="4" fontId="3" fillId="0" borderId="0" xfId="76" applyNumberFormat="1" applyFont="1"/>
    <xf numFmtId="4" fontId="3" fillId="0" borderId="0" xfId="76" applyNumberFormat="1" applyFont="1" applyProtection="1">
      <protection locked="0"/>
    </xf>
    <xf numFmtId="4" fontId="55" fillId="0" borderId="0" xfId="76" applyNumberFormat="1" applyFont="1" applyAlignment="1" applyProtection="1">
      <alignment horizontal="center"/>
      <protection locked="0"/>
    </xf>
    <xf numFmtId="168" fontId="55" fillId="0" borderId="49" xfId="76" applyFont="1" applyBorder="1" applyAlignment="1">
      <alignment horizontal="center" vertical="center"/>
    </xf>
    <xf numFmtId="4" fontId="55" fillId="0" borderId="39" xfId="76" applyNumberFormat="1" applyFont="1" applyBorder="1" applyAlignment="1">
      <alignment horizontal="center" vertical="center"/>
    </xf>
    <xf numFmtId="4" fontId="5" fillId="0" borderId="39" xfId="76" applyNumberFormat="1" applyFont="1" applyBorder="1" applyAlignment="1">
      <alignment vertical="center"/>
    </xf>
    <xf numFmtId="4" fontId="55" fillId="0" borderId="51" xfId="76" applyNumberFormat="1" applyFont="1" applyBorder="1" applyAlignment="1">
      <alignment vertical="center"/>
    </xf>
    <xf numFmtId="4" fontId="3" fillId="29" borderId="34" xfId="76" applyNumberFormat="1" applyFont="1" applyFill="1" applyBorder="1" applyAlignment="1" applyProtection="1">
      <alignment vertical="center"/>
      <protection locked="0"/>
    </xf>
    <xf numFmtId="4" fontId="3" fillId="28" borderId="31" xfId="76" applyNumberFormat="1" applyFont="1" applyFill="1" applyBorder="1" applyAlignment="1" applyProtection="1">
      <alignment vertical="center"/>
      <protection locked="0"/>
    </xf>
    <xf numFmtId="168" fontId="3" fillId="28" borderId="6" xfId="76" applyFont="1" applyFill="1" applyBorder="1" applyAlignment="1">
      <alignment horizontal="center" vertical="center"/>
    </xf>
    <xf numFmtId="170" fontId="55" fillId="28" borderId="6" xfId="76" applyNumberFormat="1" applyFont="1" applyFill="1" applyBorder="1" applyAlignment="1">
      <alignment horizontal="center" vertical="center"/>
    </xf>
    <xf numFmtId="49" fontId="3" fillId="28" borderId="41" xfId="76" applyNumberFormat="1" applyFont="1" applyFill="1" applyBorder="1" applyAlignment="1">
      <alignment horizontal="center" vertical="center"/>
    </xf>
    <xf numFmtId="168" fontId="3" fillId="0" borderId="31" xfId="76" applyFont="1" applyBorder="1" applyAlignment="1">
      <alignment vertical="center"/>
    </xf>
    <xf numFmtId="171" fontId="3" fillId="0" borderId="31" xfId="76" applyNumberFormat="1" applyFont="1" applyBorder="1" applyAlignment="1">
      <alignment horizontal="right" vertical="center"/>
    </xf>
    <xf numFmtId="171" fontId="3" fillId="0" borderId="41" xfId="76" applyNumberFormat="1" applyFont="1" applyBorder="1" applyAlignment="1">
      <alignment horizontal="right" vertical="center"/>
    </xf>
    <xf numFmtId="4" fontId="3" fillId="29" borderId="6" xfId="76" applyNumberFormat="1" applyFont="1" applyFill="1" applyBorder="1" applyAlignment="1" applyProtection="1">
      <alignment vertical="center"/>
      <protection locked="0"/>
    </xf>
    <xf numFmtId="168" fontId="3" fillId="28" borderId="41" xfId="76" applyFont="1" applyFill="1" applyBorder="1" applyAlignment="1">
      <alignment horizontal="center" vertical="center"/>
    </xf>
    <xf numFmtId="171" fontId="3" fillId="0" borderId="6" xfId="76" quotePrefix="1" applyNumberFormat="1" applyFont="1" applyBorder="1" applyAlignment="1">
      <alignment horizontal="right" vertical="center"/>
    </xf>
    <xf numFmtId="171" fontId="5" fillId="0" borderId="0" xfId="76" applyNumberFormat="1" applyFont="1" applyAlignment="1">
      <alignment horizontal="right"/>
    </xf>
    <xf numFmtId="2" fontId="3" fillId="0" borderId="6" xfId="76" applyNumberFormat="1" applyFont="1" applyBorder="1" applyAlignment="1" applyProtection="1">
      <alignment vertical="center"/>
      <protection hidden="1"/>
    </xf>
    <xf numFmtId="168" fontId="3" fillId="0" borderId="33" xfId="76" applyFont="1" applyBorder="1" applyAlignment="1">
      <alignment vertical="center"/>
    </xf>
    <xf numFmtId="171" fontId="3" fillId="0" borderId="33" xfId="76" applyNumberFormat="1" applyFont="1" applyBorder="1" applyAlignment="1">
      <alignment horizontal="right" vertical="center"/>
    </xf>
    <xf numFmtId="171" fontId="3" fillId="0" borderId="52" xfId="76" applyNumberFormat="1" applyFont="1" applyBorder="1" applyAlignment="1">
      <alignment horizontal="right" vertical="center"/>
    </xf>
    <xf numFmtId="168" fontId="3" fillId="28" borderId="50" xfId="76" applyFont="1" applyFill="1" applyBorder="1" applyAlignment="1">
      <alignment horizontal="center" vertical="center"/>
    </xf>
    <xf numFmtId="170" fontId="55" fillId="28" borderId="50" xfId="76" applyNumberFormat="1" applyFont="1" applyFill="1" applyBorder="1" applyAlignment="1">
      <alignment horizontal="center" vertical="center"/>
    </xf>
    <xf numFmtId="168" fontId="3" fillId="28" borderId="42" xfId="76" applyFont="1" applyFill="1" applyBorder="1" applyAlignment="1">
      <alignment horizontal="center" vertical="center"/>
    </xf>
    <xf numFmtId="4" fontId="3" fillId="29" borderId="19" xfId="76" applyNumberFormat="1" applyFont="1" applyFill="1" applyBorder="1" applyAlignment="1" applyProtection="1">
      <alignment vertical="center"/>
      <protection locked="0"/>
    </xf>
    <xf numFmtId="4" fontId="3" fillId="28" borderId="0" xfId="76" applyNumberFormat="1" applyFont="1" applyFill="1" applyAlignment="1" applyProtection="1">
      <alignment vertical="center"/>
      <protection locked="0"/>
    </xf>
    <xf numFmtId="168" fontId="3" fillId="28" borderId="47" xfId="76" applyFont="1" applyFill="1" applyBorder="1" applyAlignment="1">
      <alignment horizontal="center" vertical="center"/>
    </xf>
    <xf numFmtId="4" fontId="5" fillId="28" borderId="46" xfId="76" applyNumberFormat="1" applyFont="1" applyFill="1" applyBorder="1" applyAlignment="1">
      <alignment vertical="center"/>
    </xf>
    <xf numFmtId="4" fontId="5" fillId="28" borderId="0" xfId="76" applyNumberFormat="1" applyFont="1" applyFill="1" applyAlignment="1">
      <alignment vertical="center"/>
    </xf>
    <xf numFmtId="4" fontId="3" fillId="28" borderId="53" xfId="76" applyNumberFormat="1" applyFont="1" applyFill="1" applyBorder="1" applyAlignment="1">
      <alignment vertical="center"/>
    </xf>
    <xf numFmtId="168" fontId="3" fillId="0" borderId="54" xfId="76" applyFont="1" applyBorder="1" applyAlignment="1">
      <alignment vertical="center"/>
    </xf>
    <xf numFmtId="171" fontId="3" fillId="0" borderId="54" xfId="76" applyNumberFormat="1" applyFont="1" applyBorder="1" applyAlignment="1">
      <alignment horizontal="right" vertical="center"/>
    </xf>
    <xf numFmtId="171" fontId="3" fillId="0" borderId="55" xfId="76" applyNumberFormat="1" applyFont="1" applyBorder="1" applyAlignment="1">
      <alignment horizontal="right" vertical="center"/>
    </xf>
    <xf numFmtId="4" fontId="55" fillId="0" borderId="0" xfId="76" applyNumberFormat="1" applyFont="1" applyAlignment="1">
      <alignment horizontal="center" vertical="center"/>
    </xf>
    <xf numFmtId="168" fontId="80" fillId="0" borderId="0" xfId="76" applyFont="1" applyAlignment="1">
      <alignment horizontal="left" vertical="center"/>
    </xf>
    <xf numFmtId="168" fontId="54" fillId="0" borderId="0" xfId="76" applyFont="1" applyAlignment="1" applyProtection="1">
      <alignment horizontal="centerContinuous" vertical="center"/>
      <protection locked="0"/>
    </xf>
    <xf numFmtId="171" fontId="5" fillId="0" borderId="0" xfId="76" applyNumberFormat="1" applyFont="1" applyAlignment="1">
      <alignment horizontal="right" vertical="center"/>
    </xf>
    <xf numFmtId="168" fontId="3" fillId="28" borderId="43" xfId="76" applyFont="1" applyFill="1" applyBorder="1" applyAlignment="1">
      <alignment horizontal="center" vertical="center"/>
    </xf>
    <xf numFmtId="168" fontId="55" fillId="28" borderId="6" xfId="76" applyFont="1" applyFill="1" applyBorder="1" applyAlignment="1">
      <alignment horizontal="center" vertical="center"/>
    </xf>
    <xf numFmtId="168" fontId="3" fillId="28" borderId="41" xfId="76" quotePrefix="1" applyFont="1" applyFill="1" applyBorder="1" applyAlignment="1">
      <alignment horizontal="center" vertical="center"/>
    </xf>
    <xf numFmtId="168" fontId="3" fillId="28" borderId="56" xfId="76" applyFont="1" applyFill="1" applyBorder="1" applyAlignment="1">
      <alignment horizontal="right" vertical="center"/>
    </xf>
    <xf numFmtId="168" fontId="3" fillId="28" borderId="57" xfId="76" applyFont="1" applyFill="1" applyBorder="1" applyAlignment="1">
      <alignment horizontal="right" vertical="center"/>
    </xf>
    <xf numFmtId="168" fontId="20" fillId="28" borderId="58" xfId="76" applyFill="1" applyBorder="1" applyAlignment="1">
      <alignment horizontal="right" vertical="center"/>
    </xf>
    <xf numFmtId="168" fontId="3" fillId="28" borderId="59" xfId="76" applyFont="1" applyFill="1" applyBorder="1" applyAlignment="1">
      <alignment horizontal="right" vertical="center"/>
    </xf>
    <xf numFmtId="168" fontId="55" fillId="28" borderId="50" xfId="76" applyFont="1" applyFill="1" applyBorder="1" applyAlignment="1">
      <alignment horizontal="center" vertical="center"/>
    </xf>
    <xf numFmtId="4" fontId="55" fillId="28" borderId="0" xfId="76" applyNumberFormat="1" applyFont="1" applyFill="1" applyAlignment="1">
      <alignment horizontal="center" vertical="center"/>
    </xf>
    <xf numFmtId="168" fontId="53" fillId="28" borderId="47" xfId="76" applyFont="1" applyFill="1" applyBorder="1" applyAlignment="1">
      <alignment horizontal="center" vertical="center"/>
    </xf>
    <xf numFmtId="1" fontId="3" fillId="0" borderId="0" xfId="76" applyNumberFormat="1" applyFont="1" applyAlignment="1">
      <alignment vertical="center"/>
    </xf>
    <xf numFmtId="4" fontId="3" fillId="28" borderId="19" xfId="76" applyNumberFormat="1" applyFont="1" applyFill="1" applyBorder="1" applyAlignment="1">
      <alignment vertical="center"/>
    </xf>
    <xf numFmtId="4" fontId="5" fillId="29" borderId="19" xfId="76" applyNumberFormat="1" applyFont="1" applyFill="1" applyBorder="1" applyAlignment="1">
      <alignment vertical="center"/>
    </xf>
    <xf numFmtId="168" fontId="3" fillId="28" borderId="47" xfId="76" applyFont="1" applyFill="1" applyBorder="1" applyAlignment="1" applyProtection="1">
      <alignment horizontal="center" vertical="center"/>
      <protection hidden="1"/>
    </xf>
    <xf numFmtId="168" fontId="80" fillId="0" borderId="0" xfId="76" applyFont="1" applyAlignment="1">
      <alignment vertical="center"/>
    </xf>
    <xf numFmtId="168" fontId="5" fillId="0" borderId="4" xfId="76" applyFont="1" applyBorder="1" applyAlignment="1">
      <alignment vertical="center"/>
    </xf>
    <xf numFmtId="168" fontId="5" fillId="0" borderId="23" xfId="76" applyFont="1" applyBorder="1" applyAlignment="1">
      <alignment vertical="center"/>
    </xf>
    <xf numFmtId="179" fontId="3" fillId="28" borderId="41" xfId="76" applyNumberFormat="1" applyFont="1" applyFill="1" applyBorder="1" applyAlignment="1" applyProtection="1">
      <alignment vertical="center"/>
      <protection hidden="1"/>
    </xf>
    <xf numFmtId="165" fontId="3" fillId="0" borderId="25" xfId="76" applyNumberFormat="1" applyFont="1" applyBorder="1" applyAlignment="1" applyProtection="1">
      <alignment vertical="center"/>
      <protection hidden="1"/>
    </xf>
    <xf numFmtId="179" fontId="3" fillId="28" borderId="53" xfId="76" applyNumberFormat="1" applyFont="1" applyFill="1" applyBorder="1" applyAlignment="1" applyProtection="1">
      <alignment vertical="center"/>
      <protection hidden="1"/>
    </xf>
    <xf numFmtId="168" fontId="58" fillId="0" borderId="0" xfId="76" applyFont="1"/>
    <xf numFmtId="165" fontId="85" fillId="28" borderId="47" xfId="76" applyNumberFormat="1" applyFont="1" applyFill="1" applyBorder="1" applyAlignment="1" applyProtection="1">
      <alignment horizontal="right" vertical="center"/>
      <protection hidden="1"/>
    </xf>
    <xf numFmtId="168" fontId="5" fillId="0" borderId="0" xfId="76" applyFont="1" applyAlignment="1" applyProtection="1">
      <alignment horizontal="right" vertical="center"/>
      <protection hidden="1"/>
    </xf>
    <xf numFmtId="168" fontId="53" fillId="0" borderId="31" xfId="76" applyFont="1" applyBorder="1" applyAlignment="1" applyProtection="1">
      <alignment horizontal="center" vertical="center"/>
      <protection locked="0"/>
    </xf>
    <xf numFmtId="2" fontId="3" fillId="28" borderId="47" xfId="76" applyNumberFormat="1" applyFont="1" applyFill="1" applyBorder="1" applyAlignment="1">
      <alignment vertical="center"/>
    </xf>
    <xf numFmtId="4" fontId="5" fillId="28" borderId="18" xfId="76" applyNumberFormat="1" applyFont="1" applyFill="1" applyBorder="1" applyAlignment="1" applyProtection="1">
      <alignment vertical="center"/>
      <protection locked="0"/>
    </xf>
    <xf numFmtId="4" fontId="5" fillId="28" borderId="0" xfId="76" applyNumberFormat="1" applyFont="1" applyFill="1" applyAlignment="1" applyProtection="1">
      <alignment vertical="center"/>
      <protection locked="0"/>
    </xf>
    <xf numFmtId="4" fontId="3" fillId="0" borderId="0" xfId="76" applyNumberFormat="1" applyFont="1" applyAlignment="1">
      <alignment vertical="center"/>
    </xf>
    <xf numFmtId="4" fontId="5" fillId="0" borderId="39" xfId="76" applyNumberFormat="1" applyFont="1" applyBorder="1" applyAlignment="1">
      <alignment horizontal="center" vertical="center"/>
    </xf>
    <xf numFmtId="4" fontId="55" fillId="0" borderId="51" xfId="76" applyNumberFormat="1" applyFont="1" applyBorder="1" applyAlignment="1">
      <alignment horizontal="center" vertical="center"/>
    </xf>
    <xf numFmtId="4" fontId="5" fillId="0" borderId="34" xfId="76" applyNumberFormat="1" applyFont="1" applyBorder="1" applyAlignment="1">
      <alignment vertical="center"/>
    </xf>
    <xf numFmtId="168" fontId="3" fillId="0" borderId="39" xfId="76" applyFont="1" applyBorder="1" applyAlignment="1">
      <alignment vertical="center"/>
    </xf>
    <xf numFmtId="4" fontId="3" fillId="0" borderId="27" xfId="76" applyNumberFormat="1" applyFont="1" applyBorder="1" applyAlignment="1">
      <alignment horizontal="center" vertical="center"/>
    </xf>
    <xf numFmtId="4" fontId="3" fillId="0" borderId="51" xfId="76" applyNumberFormat="1" applyFont="1" applyBorder="1" applyAlignment="1">
      <alignment horizontal="center" vertical="center"/>
    </xf>
    <xf numFmtId="168" fontId="55" fillId="0" borderId="39" xfId="76" applyFont="1" applyBorder="1" applyAlignment="1">
      <alignment vertical="center"/>
    </xf>
    <xf numFmtId="168" fontId="55" fillId="0" borderId="40" xfId="76" applyFont="1" applyBorder="1" applyAlignment="1">
      <alignment vertical="center"/>
    </xf>
    <xf numFmtId="4" fontId="5" fillId="29" borderId="6" xfId="76" applyNumberFormat="1" applyFont="1" applyFill="1" applyBorder="1" applyAlignment="1" applyProtection="1">
      <alignment vertical="center"/>
      <protection locked="0"/>
    </xf>
    <xf numFmtId="4" fontId="5" fillId="28" borderId="31" xfId="76" applyNumberFormat="1" applyFont="1" applyFill="1" applyBorder="1" applyAlignment="1" applyProtection="1">
      <alignment vertical="center"/>
      <protection locked="0"/>
    </xf>
    <xf numFmtId="4" fontId="3" fillId="28" borderId="6" xfId="76" applyNumberFormat="1" applyFont="1" applyFill="1" applyBorder="1" applyAlignment="1">
      <alignment vertical="center"/>
    </xf>
    <xf numFmtId="4" fontId="3" fillId="28" borderId="34" xfId="76" applyNumberFormat="1" applyFont="1" applyFill="1" applyBorder="1" applyAlignment="1">
      <alignment vertical="center"/>
    </xf>
    <xf numFmtId="4" fontId="5" fillId="28" borderId="30" xfId="76" applyNumberFormat="1" applyFont="1" applyFill="1" applyBorder="1" applyAlignment="1" applyProtection="1">
      <alignment vertical="center"/>
      <protection locked="0"/>
    </xf>
    <xf numFmtId="4" fontId="5" fillId="0" borderId="50" xfId="76" applyNumberFormat="1" applyFont="1" applyBorder="1" applyAlignment="1">
      <alignment vertical="center"/>
    </xf>
    <xf numFmtId="168" fontId="3" fillId="28" borderId="37" xfId="76" applyFont="1" applyFill="1" applyBorder="1" applyAlignment="1">
      <alignment horizontal="center" vertical="center"/>
    </xf>
    <xf numFmtId="4" fontId="55" fillId="28" borderId="0" xfId="76" applyNumberFormat="1" applyFont="1" applyFill="1" applyAlignment="1" applyProtection="1">
      <alignment horizontal="center" vertical="center"/>
      <protection locked="0"/>
    </xf>
    <xf numFmtId="4" fontId="3" fillId="28" borderId="19" xfId="76" applyNumberFormat="1" applyFont="1" applyFill="1" applyBorder="1" applyAlignment="1" applyProtection="1">
      <alignment vertical="center"/>
      <protection locked="0"/>
    </xf>
    <xf numFmtId="168" fontId="20" fillId="31" borderId="60" xfId="76" applyFill="1" applyBorder="1" applyAlignment="1">
      <alignment horizontal="center" vertical="center"/>
    </xf>
    <xf numFmtId="4" fontId="3" fillId="28" borderId="47" xfId="76" applyNumberFormat="1" applyFont="1" applyFill="1" applyBorder="1" applyAlignment="1">
      <alignment vertical="center"/>
    </xf>
    <xf numFmtId="4" fontId="3" fillId="31" borderId="47" xfId="76" applyNumberFormat="1" applyFont="1" applyFill="1" applyBorder="1" applyAlignment="1" applyProtection="1">
      <alignment vertical="center"/>
      <protection hidden="1"/>
    </xf>
    <xf numFmtId="168" fontId="20" fillId="28" borderId="0" xfId="76" applyFill="1" applyAlignment="1">
      <alignment vertical="center"/>
    </xf>
    <xf numFmtId="168" fontId="3" fillId="0" borderId="50" xfId="76" applyFont="1" applyBorder="1" applyAlignment="1">
      <alignment vertical="center"/>
    </xf>
    <xf numFmtId="3" fontId="5" fillId="0" borderId="0" xfId="76" applyNumberFormat="1" applyFont="1" applyAlignment="1">
      <alignment horizontal="right" vertical="center"/>
    </xf>
    <xf numFmtId="40" fontId="5" fillId="0" borderId="0" xfId="76" applyNumberFormat="1" applyFont="1" applyAlignment="1">
      <alignment horizontal="right" vertical="center"/>
    </xf>
    <xf numFmtId="168" fontId="82" fillId="0" borderId="28" xfId="76" applyFont="1" applyBorder="1" applyAlignment="1">
      <alignment vertical="center"/>
    </xf>
    <xf numFmtId="168" fontId="5" fillId="0" borderId="13" xfId="76" applyFont="1" applyBorder="1" applyAlignment="1">
      <alignment vertical="center"/>
    </xf>
    <xf numFmtId="168" fontId="59" fillId="0" borderId="0" xfId="76" applyFont="1" applyAlignment="1" applyProtection="1">
      <alignment vertical="center"/>
      <protection locked="0"/>
    </xf>
    <xf numFmtId="168" fontId="59" fillId="0" borderId="4" xfId="76" applyFont="1" applyBorder="1" applyAlignment="1">
      <alignment vertical="center"/>
    </xf>
    <xf numFmtId="168" fontId="59" fillId="0" borderId="0" xfId="76" applyFont="1" applyAlignment="1">
      <alignment horizontal="right" vertical="center"/>
    </xf>
    <xf numFmtId="168" fontId="11" fillId="0" borderId="0" xfId="76" applyFont="1" applyAlignment="1">
      <alignment vertical="center"/>
    </xf>
    <xf numFmtId="168" fontId="11" fillId="0" borderId="0" xfId="76" applyFont="1"/>
    <xf numFmtId="168" fontId="3" fillId="0" borderId="4" xfId="76" applyFont="1" applyBorder="1" applyAlignment="1">
      <alignment vertical="center"/>
    </xf>
    <xf numFmtId="168" fontId="20" fillId="0" borderId="0" xfId="76" applyAlignment="1" applyProtection="1">
      <alignment vertical="center"/>
      <protection locked="0"/>
    </xf>
    <xf numFmtId="168" fontId="20" fillId="0" borderId="0" xfId="76" applyAlignment="1">
      <alignment horizontal="right" vertical="center"/>
    </xf>
    <xf numFmtId="168" fontId="20" fillId="0" borderId="0" xfId="76" applyAlignment="1">
      <alignment horizontal="center"/>
    </xf>
    <xf numFmtId="168" fontId="20" fillId="0" borderId="0" xfId="76" applyAlignment="1">
      <alignment horizontal="center" vertical="center"/>
    </xf>
    <xf numFmtId="168" fontId="5" fillId="0" borderId="4" xfId="76" applyFont="1" applyBorder="1" applyAlignment="1">
      <alignment horizontal="center" vertical="center"/>
    </xf>
    <xf numFmtId="168" fontId="5" fillId="0" borderId="23" xfId="76" applyFont="1" applyBorder="1" applyAlignment="1">
      <alignment horizontal="center" vertical="center"/>
    </xf>
    <xf numFmtId="174" fontId="3" fillId="28" borderId="47" xfId="79" applyFont="1" applyFill="1" applyBorder="1" applyAlignment="1" applyProtection="1">
      <alignment horizontal="center" vertical="center"/>
    </xf>
    <xf numFmtId="168" fontId="59" fillId="0" borderId="4" xfId="76" applyFont="1" applyBorder="1" applyAlignment="1">
      <alignment horizontal="center" vertical="center"/>
    </xf>
    <xf numFmtId="168" fontId="53" fillId="0" borderId="31" xfId="76" applyFont="1" applyBorder="1" applyAlignment="1">
      <alignment horizontal="center" vertical="center"/>
    </xf>
    <xf numFmtId="4" fontId="3" fillId="0" borderId="0" xfId="76" applyNumberFormat="1" applyFont="1" applyAlignment="1" applyProtection="1">
      <alignment vertical="center"/>
      <protection locked="0"/>
    </xf>
    <xf numFmtId="4" fontId="55" fillId="0" borderId="0" xfId="76" applyNumberFormat="1" applyFont="1" applyAlignment="1" applyProtection="1">
      <alignment horizontal="center" vertical="center"/>
      <protection locked="0"/>
    </xf>
    <xf numFmtId="168" fontId="5" fillId="28" borderId="47" xfId="76" applyFont="1" applyFill="1" applyBorder="1" applyAlignment="1">
      <alignment horizontal="right" vertical="center"/>
    </xf>
    <xf numFmtId="4" fontId="3" fillId="0" borderId="50" xfId="76" applyNumberFormat="1" applyFont="1" applyBorder="1" applyAlignment="1">
      <alignment vertical="center"/>
    </xf>
    <xf numFmtId="2" fontId="5" fillId="28" borderId="41" xfId="76" applyNumberFormat="1" applyFont="1" applyFill="1" applyBorder="1" applyAlignment="1">
      <alignment vertical="center"/>
    </xf>
    <xf numFmtId="2" fontId="5" fillId="28" borderId="42" xfId="76" applyNumberFormat="1" applyFont="1" applyFill="1" applyBorder="1" applyAlignment="1">
      <alignment vertical="center"/>
    </xf>
    <xf numFmtId="168" fontId="57" fillId="0" borderId="0" xfId="76" applyFont="1" applyAlignment="1">
      <alignment horizontal="right" vertical="center"/>
    </xf>
    <xf numFmtId="40" fontId="3" fillId="0" borderId="0" xfId="76" applyNumberFormat="1" applyFont="1" applyAlignment="1">
      <alignment vertical="center"/>
    </xf>
    <xf numFmtId="3" fontId="3" fillId="0" borderId="0" xfId="76" applyNumberFormat="1" applyFont="1" applyAlignment="1">
      <alignment vertical="center"/>
    </xf>
    <xf numFmtId="168" fontId="5" fillId="0" borderId="15" xfId="76" applyFont="1" applyBorder="1" applyAlignment="1">
      <alignment vertical="center"/>
    </xf>
    <xf numFmtId="168" fontId="5" fillId="0" borderId="61" xfId="76" applyFont="1" applyBorder="1" applyAlignment="1">
      <alignment vertical="center"/>
    </xf>
    <xf numFmtId="168" fontId="18" fillId="0" borderId="0" xfId="76" applyFont="1" applyAlignment="1">
      <alignment vertical="center"/>
    </xf>
    <xf numFmtId="168" fontId="58" fillId="0" borderId="0" xfId="76" applyFont="1" applyAlignment="1">
      <alignment vertical="center"/>
    </xf>
    <xf numFmtId="168" fontId="60" fillId="0" borderId="0" xfId="76" applyFont="1" applyAlignment="1">
      <alignment vertical="center"/>
    </xf>
    <xf numFmtId="168" fontId="69" fillId="0" borderId="0" xfId="76" applyFont="1" applyAlignment="1">
      <alignment vertical="center"/>
    </xf>
    <xf numFmtId="0" fontId="81" fillId="0" borderId="0" xfId="67" applyFont="1" applyFill="1" applyBorder="1" applyAlignment="1" applyProtection="1">
      <alignment vertical="center" wrapText="1"/>
    </xf>
    <xf numFmtId="0" fontId="3" fillId="0" borderId="14" xfId="67" applyFont="1" applyFill="1" applyBorder="1" applyAlignment="1" applyProtection="1">
      <alignment horizontal="left" vertical="center"/>
    </xf>
    <xf numFmtId="0" fontId="3" fillId="0" borderId="0" xfId="67" applyFont="1" applyFill="1" applyBorder="1" applyAlignment="1" applyProtection="1">
      <alignment horizontal="left" vertical="center"/>
    </xf>
    <xf numFmtId="0" fontId="3" fillId="0" borderId="43" xfId="67" applyFont="1" applyFill="1" applyBorder="1" applyProtection="1">
      <alignment vertical="center"/>
    </xf>
    <xf numFmtId="166" fontId="53" fillId="0" borderId="23" xfId="0" applyNumberFormat="1" applyFont="1" applyBorder="1" applyAlignment="1">
      <alignment vertical="center"/>
    </xf>
    <xf numFmtId="0" fontId="0" fillId="0" borderId="23" xfId="0" applyBorder="1" applyAlignment="1">
      <alignment vertical="center"/>
    </xf>
    <xf numFmtId="166" fontId="3" fillId="0" borderId="23" xfId="0" applyNumberFormat="1" applyFont="1" applyBorder="1" applyAlignment="1">
      <alignment vertical="center"/>
    </xf>
    <xf numFmtId="0" fontId="40" fillId="0" borderId="4" xfId="0" quotePrefix="1" applyFont="1" applyBorder="1" applyAlignment="1">
      <alignment horizontal="center" vertical="center"/>
    </xf>
    <xf numFmtId="0" fontId="40" fillId="0" borderId="22" xfId="0" applyFont="1" applyBorder="1" applyAlignment="1">
      <alignment horizontal="right" vertical="center"/>
    </xf>
    <xf numFmtId="167" fontId="7" fillId="0" borderId="33" xfId="0" applyNumberFormat="1" applyFont="1" applyBorder="1" applyAlignment="1">
      <alignment vertical="center"/>
    </xf>
    <xf numFmtId="167" fontId="7" fillId="30" borderId="33" xfId="0" applyNumberFormat="1" applyFont="1" applyFill="1" applyBorder="1" applyAlignment="1">
      <alignment vertical="center"/>
    </xf>
    <xf numFmtId="167" fontId="7" fillId="0" borderId="21" xfId="0" applyNumberFormat="1" applyFont="1" applyBorder="1" applyAlignment="1">
      <alignment vertical="center"/>
    </xf>
    <xf numFmtId="0" fontId="67" fillId="0" borderId="0" xfId="58" applyFill="1" applyBorder="1" applyAlignment="1" applyProtection="1">
      <alignment vertical="center" wrapText="1"/>
    </xf>
    <xf numFmtId="0" fontId="0" fillId="0" borderId="0" xfId="0" applyAlignment="1">
      <alignment horizontal="center" vertical="center"/>
    </xf>
    <xf numFmtId="0" fontId="0" fillId="0" borderId="44" xfId="0" applyBorder="1"/>
    <xf numFmtId="0" fontId="0" fillId="0" borderId="45" xfId="0" applyBorder="1"/>
    <xf numFmtId="0" fontId="0" fillId="0" borderId="45" xfId="0" applyBorder="1" applyAlignment="1">
      <alignment horizontal="center" vertical="center"/>
    </xf>
    <xf numFmtId="0" fontId="0" fillId="0" borderId="44" xfId="0" applyBorder="1" applyAlignment="1">
      <alignment horizontal="center" vertical="center"/>
    </xf>
    <xf numFmtId="0" fontId="0" fillId="32" borderId="14" xfId="0" applyFill="1" applyBorder="1" applyAlignment="1">
      <alignment vertical="center"/>
    </xf>
    <xf numFmtId="0" fontId="0" fillId="32" borderId="0" xfId="0" applyFill="1" applyAlignment="1">
      <alignment vertical="center"/>
    </xf>
    <xf numFmtId="0" fontId="0" fillId="32" borderId="13" xfId="0" applyFill="1" applyBorder="1" applyAlignment="1">
      <alignment vertical="center"/>
    </xf>
    <xf numFmtId="0" fontId="0" fillId="32" borderId="14" xfId="0" applyFill="1" applyBorder="1"/>
    <xf numFmtId="0" fontId="0" fillId="32" borderId="13" xfId="0" applyFill="1" applyBorder="1"/>
    <xf numFmtId="0" fontId="0" fillId="32" borderId="0" xfId="0" applyFill="1"/>
    <xf numFmtId="0" fontId="0" fillId="0" borderId="24" xfId="0" applyBorder="1"/>
    <xf numFmtId="179" fontId="7" fillId="33" borderId="6" xfId="71" applyNumberFormat="1" applyFill="1" applyBorder="1" applyAlignment="1" applyProtection="1">
      <alignment vertical="center"/>
      <protection locked="0"/>
    </xf>
    <xf numFmtId="179" fontId="3" fillId="33" borderId="6" xfId="71" applyNumberFormat="1" applyFont="1" applyFill="1" applyBorder="1" applyAlignment="1" applyProtection="1">
      <alignment horizontal="center" vertical="center"/>
      <protection locked="0"/>
    </xf>
    <xf numFmtId="169" fontId="7" fillId="33" borderId="6" xfId="0" applyNumberFormat="1" applyFont="1" applyFill="1" applyBorder="1" applyAlignment="1" applyProtection="1">
      <alignment horizontal="right"/>
      <protection locked="0"/>
    </xf>
    <xf numFmtId="179" fontId="7" fillId="33" borderId="6" xfId="71" applyNumberFormat="1" applyFill="1" applyBorder="1" applyAlignment="1" applyProtection="1">
      <alignment horizontal="center" vertical="center"/>
      <protection locked="0"/>
    </xf>
    <xf numFmtId="178" fontId="7" fillId="33" borderId="6" xfId="71" applyNumberFormat="1" applyFill="1" applyBorder="1" applyAlignment="1" applyProtection="1">
      <alignment vertical="center"/>
      <protection locked="0"/>
    </xf>
    <xf numFmtId="178" fontId="77" fillId="33" borderId="6" xfId="69" applyNumberFormat="1" applyFont="1" applyFill="1" applyBorder="1" applyAlignment="1" applyProtection="1">
      <alignment vertical="center"/>
      <protection locked="0"/>
    </xf>
    <xf numFmtId="0" fontId="3" fillId="33" borderId="6" xfId="0" applyFont="1" applyFill="1" applyBorder="1" applyAlignment="1" applyProtection="1">
      <alignment horizontal="center" vertical="center"/>
      <protection locked="0"/>
    </xf>
    <xf numFmtId="179" fontId="3" fillId="33" borderId="6" xfId="71" applyNumberFormat="1" applyFont="1" applyFill="1" applyBorder="1" applyAlignment="1" applyProtection="1">
      <alignment vertical="center"/>
      <protection locked="0"/>
    </xf>
    <xf numFmtId="178" fontId="7" fillId="33" borderId="6" xfId="69" applyNumberFormat="1" applyFill="1" applyBorder="1" applyAlignment="1" applyProtection="1">
      <alignment vertical="center"/>
      <protection locked="0"/>
    </xf>
    <xf numFmtId="181" fontId="7" fillId="33" borderId="6" xfId="69" applyNumberFormat="1" applyFill="1" applyBorder="1" applyAlignment="1" applyProtection="1">
      <alignment vertical="center"/>
      <protection locked="0"/>
    </xf>
    <xf numFmtId="182" fontId="7" fillId="33" borderId="6" xfId="71" applyNumberFormat="1" applyFill="1" applyBorder="1" applyAlignment="1" applyProtection="1">
      <alignment vertical="center"/>
      <protection locked="0"/>
    </xf>
    <xf numFmtId="182" fontId="7" fillId="33" borderId="6" xfId="71" quotePrefix="1" applyNumberFormat="1" applyFill="1" applyBorder="1" applyAlignment="1" applyProtection="1">
      <alignment vertical="center"/>
      <protection locked="0"/>
    </xf>
    <xf numFmtId="178" fontId="3" fillId="33" borderId="6" xfId="71" applyNumberFormat="1" applyFont="1" applyFill="1" applyBorder="1" applyAlignment="1" applyProtection="1">
      <alignment vertical="center"/>
      <protection locked="0"/>
    </xf>
    <xf numFmtId="179" fontId="3" fillId="33" borderId="19" xfId="71" applyNumberFormat="1" applyFont="1" applyFill="1" applyBorder="1" applyAlignment="1" applyProtection="1">
      <alignment vertical="center"/>
      <protection locked="0"/>
    </xf>
    <xf numFmtId="179" fontId="7" fillId="33" borderId="19" xfId="71" applyNumberFormat="1" applyFill="1" applyBorder="1" applyAlignment="1" applyProtection="1">
      <alignment vertical="center"/>
      <protection locked="0"/>
    </xf>
    <xf numFmtId="1" fontId="3" fillId="33" borderId="6" xfId="76" applyNumberFormat="1" applyFont="1" applyFill="1" applyBorder="1" applyAlignment="1" applyProtection="1">
      <alignment vertical="center"/>
      <protection locked="0"/>
    </xf>
    <xf numFmtId="1" fontId="3" fillId="33" borderId="50" xfId="76" applyNumberFormat="1" applyFont="1" applyFill="1" applyBorder="1" applyAlignment="1" applyProtection="1">
      <alignment vertical="center"/>
      <protection locked="0"/>
    </xf>
    <xf numFmtId="2" fontId="3" fillId="33" borderId="20" xfId="76" applyNumberFormat="1" applyFont="1" applyFill="1" applyBorder="1" applyAlignment="1" applyProtection="1">
      <alignment vertical="center"/>
      <protection locked="0"/>
    </xf>
    <xf numFmtId="2" fontId="3" fillId="33" borderId="44" xfId="76" applyNumberFormat="1" applyFont="1" applyFill="1" applyBorder="1" applyAlignment="1" applyProtection="1">
      <alignment vertical="center"/>
      <protection locked="0"/>
    </xf>
    <xf numFmtId="2" fontId="3" fillId="33" borderId="6" xfId="76" applyNumberFormat="1" applyFont="1" applyFill="1" applyBorder="1" applyAlignment="1" applyProtection="1">
      <alignment vertical="center"/>
      <protection locked="0"/>
    </xf>
    <xf numFmtId="2" fontId="3" fillId="33" borderId="62" xfId="76" applyNumberFormat="1" applyFont="1" applyFill="1" applyBorder="1" applyAlignment="1" applyProtection="1">
      <alignment vertical="center"/>
      <protection locked="0"/>
    </xf>
    <xf numFmtId="168" fontId="57" fillId="33" borderId="38" xfId="76" applyFont="1" applyFill="1" applyBorder="1" applyAlignment="1" applyProtection="1">
      <alignment horizontal="center" vertical="center"/>
      <protection locked="0"/>
    </xf>
    <xf numFmtId="168" fontId="57" fillId="33" borderId="36" xfId="76" applyFont="1" applyFill="1" applyBorder="1" applyAlignment="1" applyProtection="1">
      <alignment horizontal="center" vertical="center"/>
      <protection locked="0"/>
    </xf>
    <xf numFmtId="168" fontId="57" fillId="33" borderId="37" xfId="76" applyFont="1" applyFill="1" applyBorder="1" applyAlignment="1" applyProtection="1">
      <alignment horizontal="center" vertical="center"/>
      <protection locked="0"/>
    </xf>
    <xf numFmtId="179" fontId="3" fillId="33" borderId="41" xfId="71" applyNumberFormat="1" applyFont="1" applyFill="1" applyBorder="1" applyAlignment="1" applyProtection="1">
      <alignment vertical="center"/>
      <protection locked="0"/>
    </xf>
    <xf numFmtId="169" fontId="3" fillId="33" borderId="42" xfId="76" applyNumberFormat="1" applyFont="1" applyFill="1" applyBorder="1" applyAlignment="1" applyProtection="1">
      <alignment vertical="center"/>
      <protection locked="0" hidden="1"/>
    </xf>
    <xf numFmtId="169" fontId="3" fillId="33" borderId="47" xfId="79" applyNumberFormat="1" applyFont="1" applyFill="1" applyBorder="1" applyAlignment="1" applyProtection="1">
      <alignment horizontal="right" vertical="center"/>
      <protection locked="0" hidden="1"/>
    </xf>
    <xf numFmtId="169" fontId="3" fillId="33" borderId="42" xfId="76" applyNumberFormat="1" applyFont="1" applyFill="1" applyBorder="1" applyAlignment="1" applyProtection="1">
      <alignment vertical="center"/>
      <protection locked="0"/>
    </xf>
    <xf numFmtId="169" fontId="3" fillId="33" borderId="47" xfId="79" applyNumberFormat="1" applyFont="1" applyFill="1" applyBorder="1" applyAlignment="1" applyProtection="1">
      <alignment horizontal="right" vertical="center"/>
      <protection locked="0"/>
    </xf>
    <xf numFmtId="2" fontId="5" fillId="33" borderId="41" xfId="76" applyNumberFormat="1" applyFont="1" applyFill="1" applyBorder="1" applyAlignment="1" applyProtection="1">
      <alignment vertical="center"/>
      <protection locked="0"/>
    </xf>
    <xf numFmtId="2" fontId="3" fillId="33" borderId="41" xfId="76" applyNumberFormat="1" applyFont="1" applyFill="1" applyBorder="1" applyAlignment="1" applyProtection="1">
      <alignment vertical="center"/>
      <protection locked="0"/>
    </xf>
    <xf numFmtId="177" fontId="7" fillId="33" borderId="19" xfId="69" applyNumberFormat="1" applyFill="1" applyBorder="1" applyProtection="1">
      <alignment horizontal="right"/>
      <protection locked="0"/>
    </xf>
    <xf numFmtId="177" fontId="7" fillId="33" borderId="50" xfId="69" applyNumberFormat="1" applyFill="1" applyBorder="1" applyProtection="1">
      <alignment horizontal="right"/>
      <protection locked="0"/>
    </xf>
    <xf numFmtId="169" fontId="0" fillId="33" borderId="44" xfId="0" applyNumberFormat="1" applyFill="1" applyBorder="1" applyProtection="1">
      <protection locked="0"/>
    </xf>
    <xf numFmtId="169" fontId="0" fillId="33" borderId="24" xfId="0" applyNumberFormat="1" applyFill="1" applyBorder="1" applyProtection="1">
      <protection locked="0"/>
    </xf>
    <xf numFmtId="169" fontId="0" fillId="33" borderId="28" xfId="0" applyNumberFormat="1" applyFill="1" applyBorder="1" applyProtection="1">
      <protection locked="0"/>
    </xf>
    <xf numFmtId="169" fontId="0" fillId="33" borderId="30" xfId="0" applyNumberFormat="1" applyFill="1" applyBorder="1" applyProtection="1">
      <protection locked="0"/>
    </xf>
    <xf numFmtId="169" fontId="0" fillId="33" borderId="22" xfId="0" applyNumberFormat="1" applyFill="1" applyBorder="1" applyProtection="1">
      <protection locked="0"/>
    </xf>
    <xf numFmtId="169" fontId="0" fillId="33" borderId="21" xfId="0" applyNumberFormat="1" applyFill="1" applyBorder="1" applyProtection="1">
      <protection locked="0"/>
    </xf>
    <xf numFmtId="3" fontId="3" fillId="33" borderId="31" xfId="0" applyNumberFormat="1" applyFont="1" applyFill="1" applyBorder="1" applyAlignment="1" applyProtection="1">
      <alignment horizontal="center"/>
      <protection locked="0"/>
    </xf>
    <xf numFmtId="3" fontId="3" fillId="33" borderId="33" xfId="0" applyNumberFormat="1" applyFont="1" applyFill="1" applyBorder="1" applyAlignment="1" applyProtection="1">
      <alignment horizontal="center"/>
      <protection locked="0"/>
    </xf>
    <xf numFmtId="169" fontId="0" fillId="33" borderId="31" xfId="0" applyNumberFormat="1" applyFill="1" applyBorder="1" applyAlignment="1" applyProtection="1">
      <alignment horizontal="center"/>
      <protection locked="0"/>
    </xf>
    <xf numFmtId="169" fontId="0" fillId="33" borderId="33" xfId="0" applyNumberFormat="1" applyFill="1" applyBorder="1" applyAlignment="1" applyProtection="1">
      <alignment horizontal="center"/>
      <protection locked="0"/>
    </xf>
    <xf numFmtId="9" fontId="0" fillId="33" borderId="6" xfId="0" applyNumberFormat="1" applyFill="1" applyBorder="1" applyAlignment="1" applyProtection="1">
      <alignment horizontal="center"/>
      <protection locked="0"/>
    </xf>
    <xf numFmtId="0" fontId="68" fillId="0" borderId="13" xfId="68" applyFont="1" applyFill="1" applyBorder="1" applyAlignment="1" applyProtection="1">
      <alignment horizontal="left" vertical="center"/>
    </xf>
    <xf numFmtId="183" fontId="5" fillId="28" borderId="47" xfId="79" applyNumberFormat="1" applyFont="1" applyFill="1" applyBorder="1" applyAlignment="1" applyProtection="1">
      <alignment horizontal="right" vertical="center"/>
      <protection hidden="1"/>
    </xf>
    <xf numFmtId="183" fontId="3" fillId="31" borderId="47" xfId="79" applyNumberFormat="1" applyFont="1" applyFill="1" applyBorder="1" applyAlignment="1" applyProtection="1">
      <alignment horizontal="center" vertical="center"/>
    </xf>
    <xf numFmtId="167" fontId="3" fillId="30" borderId="19" xfId="0" applyNumberFormat="1" applyFont="1" applyFill="1" applyBorder="1" applyAlignment="1">
      <alignment vertical="center"/>
    </xf>
    <xf numFmtId="166" fontId="53" fillId="30" borderId="44" xfId="0" applyNumberFormat="1" applyFont="1" applyFill="1" applyBorder="1" applyAlignment="1">
      <alignment vertical="center"/>
    </xf>
    <xf numFmtId="167" fontId="53" fillId="30" borderId="20" xfId="0" applyNumberFormat="1" applyFont="1" applyFill="1" applyBorder="1" applyAlignment="1">
      <alignment vertical="center"/>
    </xf>
    <xf numFmtId="0" fontId="0" fillId="0" borderId="0" xfId="0" quotePrefix="1"/>
    <xf numFmtId="0" fontId="0" fillId="0" borderId="63" xfId="0" applyBorder="1"/>
    <xf numFmtId="0" fontId="0" fillId="0" borderId="4" xfId="0" applyBorder="1" applyAlignment="1">
      <alignment horizontal="center" vertical="center"/>
    </xf>
    <xf numFmtId="0" fontId="0" fillId="0" borderId="64" xfId="0" applyBorder="1"/>
    <xf numFmtId="0" fontId="0" fillId="0" borderId="14" xfId="0" applyBorder="1" applyAlignment="1">
      <alignment vertical="center" wrapText="1"/>
    </xf>
    <xf numFmtId="168" fontId="62" fillId="0" borderId="13" xfId="76" applyFont="1" applyBorder="1" applyAlignment="1">
      <alignment vertical="center"/>
    </xf>
    <xf numFmtId="183" fontId="40" fillId="30" borderId="6" xfId="0" applyNumberFormat="1" applyFont="1" applyFill="1" applyBorder="1" applyAlignment="1">
      <alignment vertical="center"/>
    </xf>
    <xf numFmtId="183" fontId="40" fillId="30" borderId="33" xfId="0" applyNumberFormat="1" applyFont="1" applyFill="1" applyBorder="1" applyAlignment="1">
      <alignment vertical="center"/>
    </xf>
    <xf numFmtId="168" fontId="61" fillId="0" borderId="22" xfId="76" applyFont="1" applyBorder="1" applyAlignment="1">
      <alignment vertical="center"/>
    </xf>
    <xf numFmtId="0" fontId="0" fillId="0" borderId="65" xfId="0" applyBorder="1"/>
    <xf numFmtId="169" fontId="0" fillId="33" borderId="45" xfId="0" applyNumberFormat="1" applyFill="1" applyBorder="1" applyProtection="1">
      <protection locked="0"/>
    </xf>
    <xf numFmtId="169" fontId="0" fillId="33" borderId="0" xfId="0" applyNumberFormat="1" applyFill="1" applyProtection="1">
      <protection locked="0"/>
    </xf>
    <xf numFmtId="169" fontId="0" fillId="33" borderId="4" xfId="0" applyNumberFormat="1" applyFill="1" applyBorder="1" applyProtection="1">
      <protection locked="0"/>
    </xf>
    <xf numFmtId="0" fontId="0" fillId="0" borderId="66" xfId="0" applyBorder="1"/>
    <xf numFmtId="0" fontId="40" fillId="0" borderId="14" xfId="0" applyFont="1" applyBorder="1" applyAlignment="1">
      <alignment horizontal="right" vertical="center"/>
    </xf>
    <xf numFmtId="168" fontId="76" fillId="0" borderId="0" xfId="76" applyFont="1" applyAlignment="1">
      <alignment vertical="center"/>
    </xf>
    <xf numFmtId="4" fontId="71" fillId="0" borderId="0" xfId="0" applyNumberFormat="1" applyFont="1" applyAlignment="1">
      <alignment horizontal="left"/>
    </xf>
    <xf numFmtId="1" fontId="3" fillId="0" borderId="34" xfId="0" applyNumberFormat="1" applyFont="1" applyBorder="1" applyAlignment="1">
      <alignment horizontal="center"/>
    </xf>
    <xf numFmtId="0" fontId="3" fillId="0" borderId="34" xfId="0" applyFont="1" applyBorder="1" applyAlignment="1">
      <alignment horizontal="center"/>
    </xf>
    <xf numFmtId="174" fontId="3" fillId="0" borderId="24" xfId="79" applyFont="1" applyFill="1" applyBorder="1" applyAlignment="1" applyProtection="1">
      <alignment horizontal="center"/>
    </xf>
    <xf numFmtId="0" fontId="3" fillId="0" borderId="28" xfId="0" applyFont="1" applyBorder="1" applyAlignment="1">
      <alignment horizontal="center"/>
    </xf>
    <xf numFmtId="1" fontId="3" fillId="0" borderId="31" xfId="0" applyNumberFormat="1" applyFont="1" applyBorder="1" applyAlignment="1">
      <alignment horizontal="center"/>
    </xf>
    <xf numFmtId="0" fontId="3" fillId="0" borderId="31" xfId="0" applyFont="1" applyBorder="1" applyAlignment="1">
      <alignment horizontal="center"/>
    </xf>
    <xf numFmtId="174" fontId="3" fillId="0" borderId="30" xfId="79" applyFont="1" applyFill="1" applyBorder="1" applyAlignment="1" applyProtection="1">
      <alignment horizontal="center"/>
    </xf>
    <xf numFmtId="0" fontId="3" fillId="0" borderId="22" xfId="0" applyFont="1" applyBorder="1" applyAlignment="1">
      <alignment horizontal="center"/>
    </xf>
    <xf numFmtId="1" fontId="3" fillId="0" borderId="33" xfId="0" applyNumberFormat="1" applyFont="1" applyBorder="1" applyAlignment="1">
      <alignment horizontal="center"/>
    </xf>
    <xf numFmtId="0" fontId="3" fillId="0" borderId="33" xfId="0" applyFont="1" applyBorder="1" applyAlignment="1">
      <alignment horizontal="center"/>
    </xf>
    <xf numFmtId="174" fontId="3" fillId="0" borderId="21" xfId="79" applyFont="1" applyFill="1" applyBorder="1" applyAlignment="1" applyProtection="1">
      <alignment horizontal="center"/>
    </xf>
    <xf numFmtId="0" fontId="3" fillId="0" borderId="15" xfId="67" applyFont="1" applyFill="1" applyBorder="1" applyAlignment="1" applyProtection="1">
      <alignment horizontal="left" vertical="center"/>
    </xf>
    <xf numFmtId="0" fontId="3" fillId="0" borderId="21" xfId="67" applyFont="1" applyFill="1" applyBorder="1" applyAlignment="1" applyProtection="1">
      <alignment horizontal="left" vertical="center"/>
    </xf>
    <xf numFmtId="179" fontId="3" fillId="28" borderId="62" xfId="76" applyNumberFormat="1" applyFont="1" applyFill="1" applyBorder="1" applyAlignment="1" applyProtection="1">
      <alignment vertical="center"/>
      <protection hidden="1"/>
    </xf>
    <xf numFmtId="0" fontId="40" fillId="0" borderId="21" xfId="0" applyFont="1" applyBorder="1" applyAlignment="1">
      <alignment horizontal="right" vertical="center"/>
    </xf>
    <xf numFmtId="0" fontId="40" fillId="0" borderId="34" xfId="0" quotePrefix="1" applyFont="1" applyBorder="1" applyAlignment="1">
      <alignment horizontal="center" vertical="center"/>
    </xf>
    <xf numFmtId="0" fontId="40" fillId="0" borderId="31" xfId="0" quotePrefix="1" applyFont="1" applyBorder="1" applyAlignment="1">
      <alignment horizontal="center" vertical="center"/>
    </xf>
    <xf numFmtId="0" fontId="40" fillId="0" borderId="33" xfId="0" applyFont="1" applyBorder="1" applyAlignment="1">
      <alignment horizontal="right" vertical="center"/>
    </xf>
    <xf numFmtId="0" fontId="14" fillId="0" borderId="24" xfId="0" applyFont="1" applyBorder="1" applyAlignment="1">
      <alignment horizontal="right" vertical="center"/>
    </xf>
    <xf numFmtId="167" fontId="7" fillId="0" borderId="30" xfId="0" applyNumberFormat="1" applyFont="1" applyBorder="1" applyAlignment="1">
      <alignment vertical="center"/>
    </xf>
    <xf numFmtId="0" fontId="0" fillId="0" borderId="0" xfId="0" applyAlignment="1">
      <alignment vertical="center" wrapText="1"/>
    </xf>
    <xf numFmtId="0" fontId="53" fillId="30" borderId="20" xfId="0" applyFont="1" applyFill="1" applyBorder="1" applyAlignment="1">
      <alignment vertical="center" wrapText="1"/>
    </xf>
    <xf numFmtId="166" fontId="3" fillId="30" borderId="19" xfId="0" applyNumberFormat="1" applyFont="1" applyFill="1" applyBorder="1" applyAlignment="1">
      <alignment vertical="center" wrapText="1"/>
    </xf>
    <xf numFmtId="0" fontId="15" fillId="0" borderId="32" xfId="0" applyFont="1" applyBorder="1" applyAlignment="1">
      <alignment vertical="center" wrapText="1"/>
    </xf>
    <xf numFmtId="0" fontId="0" fillId="28" borderId="0" xfId="0" applyFill="1" applyAlignment="1">
      <alignment vertical="center" wrapText="1"/>
    </xf>
    <xf numFmtId="0" fontId="0" fillId="32" borderId="16" xfId="0" applyFill="1" applyBorder="1"/>
    <xf numFmtId="0" fontId="0" fillId="32" borderId="17" xfId="0" applyFill="1" applyBorder="1"/>
    <xf numFmtId="0" fontId="0" fillId="32" borderId="18" xfId="0" applyFill="1" applyBorder="1"/>
    <xf numFmtId="0" fontId="0" fillId="0" borderId="35" xfId="0" applyBorder="1"/>
    <xf numFmtId="0" fontId="3" fillId="0" borderId="0" xfId="58" applyFont="1" applyBorder="1" applyAlignment="1" applyProtection="1">
      <alignment vertical="center" wrapText="1"/>
    </xf>
    <xf numFmtId="183" fontId="7" fillId="33" borderId="6" xfId="0" applyNumberFormat="1" applyFont="1" applyFill="1" applyBorder="1" applyAlignment="1" applyProtection="1">
      <alignment horizontal="right"/>
      <protection locked="0"/>
    </xf>
    <xf numFmtId="166" fontId="76" fillId="29" borderId="13" xfId="0" applyNumberFormat="1" applyFont="1" applyFill="1" applyBorder="1" applyAlignment="1">
      <alignment vertical="center"/>
    </xf>
    <xf numFmtId="4" fontId="3" fillId="33" borderId="6" xfId="76" applyNumberFormat="1" applyFont="1" applyFill="1" applyBorder="1" applyAlignment="1">
      <alignment vertical="center"/>
    </xf>
    <xf numFmtId="168" fontId="57" fillId="33" borderId="67" xfId="76" applyFont="1" applyFill="1" applyBorder="1" applyAlignment="1" applyProtection="1">
      <alignment horizontal="center" vertical="center"/>
      <protection locked="0"/>
    </xf>
    <xf numFmtId="0" fontId="5" fillId="0" borderId="16" xfId="0" applyFont="1" applyBorder="1"/>
    <xf numFmtId="0" fontId="3" fillId="0" borderId="17" xfId="0" applyFont="1" applyBorder="1"/>
    <xf numFmtId="0" fontId="5" fillId="0" borderId="0" xfId="0" applyFont="1"/>
    <xf numFmtId="0" fontId="69" fillId="0" borderId="0" xfId="68" applyFont="1" applyFill="1" applyBorder="1" applyAlignment="1" applyProtection="1">
      <alignment horizontal="center" vertical="center"/>
    </xf>
    <xf numFmtId="0" fontId="5" fillId="0" borderId="16" xfId="68" applyFont="1" applyFill="1" applyBorder="1" applyAlignment="1" applyProtection="1">
      <alignment horizontal="left" vertical="center"/>
    </xf>
    <xf numFmtId="0" fontId="0" fillId="0" borderId="29" xfId="0" applyBorder="1"/>
    <xf numFmtId="0" fontId="72" fillId="0" borderId="0" xfId="0" applyFont="1" applyAlignment="1">
      <alignment horizontal="right"/>
    </xf>
    <xf numFmtId="169" fontId="0" fillId="30" borderId="33" xfId="0" applyNumberFormat="1" applyFill="1" applyBorder="1"/>
    <xf numFmtId="183" fontId="3" fillId="0" borderId="17" xfId="0" applyNumberFormat="1" applyFont="1" applyBorder="1"/>
    <xf numFmtId="183" fontId="3" fillId="30" borderId="6" xfId="0" applyNumberFormat="1" applyFont="1" applyFill="1" applyBorder="1"/>
    <xf numFmtId="169" fontId="0" fillId="30" borderId="34" xfId="0" applyNumberFormat="1" applyFill="1" applyBorder="1"/>
    <xf numFmtId="169" fontId="0" fillId="30" borderId="6" xfId="0" applyNumberFormat="1" applyFill="1" applyBorder="1"/>
    <xf numFmtId="169" fontId="0" fillId="30" borderId="44" xfId="0" applyNumberFormat="1" applyFill="1" applyBorder="1"/>
    <xf numFmtId="169" fontId="0" fillId="30" borderId="20" xfId="0" applyNumberFormat="1" applyFill="1" applyBorder="1"/>
    <xf numFmtId="169" fontId="0" fillId="30" borderId="19" xfId="0" applyNumberFormat="1" applyFill="1" applyBorder="1"/>
    <xf numFmtId="169" fontId="72" fillId="0" borderId="0" xfId="0" applyNumberFormat="1" applyFont="1"/>
    <xf numFmtId="14" fontId="72" fillId="0" borderId="0" xfId="0" applyNumberFormat="1" applyFont="1"/>
    <xf numFmtId="0" fontId="86" fillId="0" borderId="0" xfId="0" applyFont="1" applyAlignment="1">
      <alignment horizontal="right"/>
    </xf>
    <xf numFmtId="169" fontId="3" fillId="30" borderId="6" xfId="0" applyNumberFormat="1" applyFont="1" applyFill="1" applyBorder="1"/>
    <xf numFmtId="14" fontId="0" fillId="33" borderId="34" xfId="0" applyNumberFormat="1" applyFill="1" applyBorder="1" applyProtection="1">
      <protection locked="0"/>
    </xf>
    <xf numFmtId="169" fontId="0" fillId="30" borderId="31" xfId="0" applyNumberFormat="1" applyFill="1" applyBorder="1"/>
    <xf numFmtId="0" fontId="5" fillId="0" borderId="68" xfId="0" applyFont="1" applyBorder="1"/>
    <xf numFmtId="169" fontId="0" fillId="0" borderId="29" xfId="0" applyNumberFormat="1" applyBorder="1"/>
    <xf numFmtId="14" fontId="0" fillId="0" borderId="29" xfId="0" applyNumberFormat="1" applyBorder="1"/>
    <xf numFmtId="169" fontId="0" fillId="0" borderId="17" xfId="0" applyNumberFormat="1" applyBorder="1"/>
    <xf numFmtId="169" fontId="87" fillId="30" borderId="33" xfId="0" applyNumberFormat="1" applyFont="1" applyFill="1" applyBorder="1"/>
    <xf numFmtId="169" fontId="87" fillId="30" borderId="22" xfId="0" applyNumberFormat="1" applyFont="1" applyFill="1" applyBorder="1"/>
    <xf numFmtId="169" fontId="87" fillId="30" borderId="21" xfId="0" applyNumberFormat="1" applyFont="1" applyFill="1" applyBorder="1"/>
    <xf numFmtId="14" fontId="88" fillId="30" borderId="0" xfId="0" applyNumberFormat="1" applyFont="1" applyFill="1"/>
    <xf numFmtId="14" fontId="88" fillId="30" borderId="0" xfId="0" applyNumberFormat="1" applyFont="1" applyFill="1" applyAlignment="1">
      <alignment horizontal="right"/>
    </xf>
    <xf numFmtId="0" fontId="0" fillId="0" borderId="22" xfId="0" applyBorder="1"/>
    <xf numFmtId="0" fontId="0" fillId="0" borderId="21" xfId="0" applyBorder="1"/>
    <xf numFmtId="0" fontId="3" fillId="0" borderId="5" xfId="58" applyFont="1" applyBorder="1" applyAlignment="1" applyProtection="1">
      <alignment vertical="center" wrapText="1"/>
    </xf>
    <xf numFmtId="0" fontId="3" fillId="0" borderId="65" xfId="58" applyFont="1" applyBorder="1" applyAlignment="1" applyProtection="1">
      <alignment vertical="center" wrapText="1"/>
    </xf>
    <xf numFmtId="0" fontId="3" fillId="0" borderId="13" xfId="58" applyFont="1" applyBorder="1" applyAlignment="1" applyProtection="1">
      <alignment vertical="center" wrapText="1"/>
    </xf>
    <xf numFmtId="0" fontId="3" fillId="0" borderId="17" xfId="58" applyFont="1" applyBorder="1" applyAlignment="1" applyProtection="1">
      <alignment vertical="center" wrapText="1"/>
    </xf>
    <xf numFmtId="0" fontId="3" fillId="0" borderId="18" xfId="58" applyFont="1" applyBorder="1" applyAlignment="1" applyProtection="1">
      <alignment vertical="center" wrapText="1"/>
    </xf>
    <xf numFmtId="0" fontId="69" fillId="0" borderId="13" xfId="68" applyFont="1" applyFill="1" applyBorder="1" applyAlignment="1" applyProtection="1">
      <alignment horizontal="left" vertical="center"/>
    </xf>
    <xf numFmtId="179" fontId="7" fillId="33" borderId="6" xfId="69" applyNumberFormat="1" applyFill="1" applyBorder="1" applyAlignment="1" applyProtection="1">
      <alignment vertical="center"/>
      <protection locked="0"/>
    </xf>
    <xf numFmtId="0" fontId="81" fillId="0" borderId="13" xfId="68" applyFont="1" applyFill="1" applyBorder="1" applyAlignment="1" applyProtection="1">
      <alignment horizontal="left" vertical="center"/>
    </xf>
    <xf numFmtId="0" fontId="0" fillId="32" borderId="44" xfId="0" applyFill="1" applyBorder="1"/>
    <xf numFmtId="0" fontId="0" fillId="32" borderId="45" xfId="0" applyFill="1" applyBorder="1"/>
    <xf numFmtId="0" fontId="0" fillId="32" borderId="28" xfId="0" applyFill="1" applyBorder="1"/>
    <xf numFmtId="0" fontId="0" fillId="0" borderId="79" xfId="0" applyBorder="1"/>
    <xf numFmtId="0" fontId="0" fillId="0" borderId="80" xfId="0" applyBorder="1"/>
    <xf numFmtId="0" fontId="0" fillId="0" borderId="81" xfId="0" applyBorder="1"/>
    <xf numFmtId="0" fontId="0" fillId="0" borderId="82" xfId="0" applyBorder="1"/>
    <xf numFmtId="0" fontId="76" fillId="0" borderId="0" xfId="0" applyFont="1" applyProtection="1">
      <protection hidden="1"/>
    </xf>
    <xf numFmtId="0" fontId="76" fillId="0" borderId="83" xfId="0" applyFont="1" applyBorder="1" applyProtection="1">
      <protection hidden="1"/>
    </xf>
    <xf numFmtId="0" fontId="3" fillId="0" borderId="45" xfId="58" applyFont="1" applyBorder="1" applyAlignment="1">
      <alignment vertical="center" wrapText="1"/>
    </xf>
    <xf numFmtId="0" fontId="3" fillId="0" borderId="24" xfId="58" applyFont="1" applyBorder="1" applyAlignment="1">
      <alignment vertical="center" wrapText="1"/>
    </xf>
    <xf numFmtId="0" fontId="3" fillId="0" borderId="0" xfId="58" applyFont="1" applyBorder="1" applyAlignment="1">
      <alignment vertical="center" wrapText="1"/>
    </xf>
    <xf numFmtId="0" fontId="3" fillId="0" borderId="30" xfId="58" applyFont="1" applyBorder="1" applyAlignment="1">
      <alignment vertical="center" wrapText="1"/>
    </xf>
    <xf numFmtId="0" fontId="3" fillId="0" borderId="4" xfId="58" applyFont="1" applyBorder="1" applyAlignment="1">
      <alignment vertical="center" wrapText="1"/>
    </xf>
    <xf numFmtId="0" fontId="3" fillId="0" borderId="21" xfId="58" applyFont="1" applyBorder="1" applyAlignment="1">
      <alignment vertical="center" wrapText="1"/>
    </xf>
    <xf numFmtId="0" fontId="3" fillId="0" borderId="45" xfId="58" applyFont="1" applyBorder="1" applyAlignment="1" applyProtection="1">
      <alignment vertical="center" wrapText="1"/>
    </xf>
    <xf numFmtId="0" fontId="3" fillId="0" borderId="24" xfId="58" applyFont="1" applyBorder="1" applyAlignment="1" applyProtection="1">
      <alignment vertical="center" wrapText="1"/>
    </xf>
    <xf numFmtId="0" fontId="3" fillId="0" borderId="30" xfId="58" applyFont="1" applyBorder="1" applyAlignment="1" applyProtection="1">
      <alignment vertical="center" wrapText="1"/>
    </xf>
    <xf numFmtId="0" fontId="3" fillId="0" borderId="4" xfId="58" applyFont="1" applyBorder="1" applyAlignment="1" applyProtection="1">
      <alignment vertical="center" wrapText="1"/>
    </xf>
    <xf numFmtId="0" fontId="3" fillId="0" borderId="21" xfId="58" applyFont="1" applyBorder="1" applyAlignment="1" applyProtection="1">
      <alignment vertical="center" wrapText="1"/>
    </xf>
    <xf numFmtId="0" fontId="3" fillId="0" borderId="45" xfId="58" applyFont="1" applyFill="1" applyBorder="1" applyAlignment="1" applyProtection="1">
      <alignment vertical="center" wrapText="1"/>
    </xf>
    <xf numFmtId="0" fontId="3" fillId="0" borderId="24" xfId="58" applyFont="1" applyFill="1" applyBorder="1" applyAlignment="1" applyProtection="1">
      <alignment vertical="center" wrapText="1"/>
    </xf>
    <xf numFmtId="0" fontId="3" fillId="0" borderId="0" xfId="58" applyFont="1" applyFill="1" applyBorder="1" applyAlignment="1" applyProtection="1">
      <alignment vertical="center" wrapText="1"/>
    </xf>
    <xf numFmtId="0" fontId="3" fillId="0" borderId="30" xfId="58" applyFont="1" applyFill="1" applyBorder="1" applyAlignment="1" applyProtection="1">
      <alignment vertical="center" wrapText="1"/>
    </xf>
    <xf numFmtId="0" fontId="3" fillId="0" borderId="4" xfId="58" applyFont="1" applyFill="1" applyBorder="1" applyAlignment="1" applyProtection="1">
      <alignment vertical="center" wrapText="1"/>
    </xf>
    <xf numFmtId="0" fontId="3" fillId="0" borderId="21" xfId="58" applyFont="1" applyFill="1" applyBorder="1" applyAlignment="1" applyProtection="1">
      <alignment vertical="center" wrapText="1"/>
    </xf>
    <xf numFmtId="0" fontId="0" fillId="0" borderId="84" xfId="0" applyBorder="1" applyAlignment="1">
      <alignment vertical="center" wrapText="1"/>
    </xf>
    <xf numFmtId="0" fontId="0" fillId="0" borderId="85" xfId="0" applyBorder="1" applyAlignment="1">
      <alignment vertical="center" wrapText="1"/>
    </xf>
    <xf numFmtId="0" fontId="0" fillId="0" borderId="86" xfId="0" applyBorder="1" applyAlignment="1">
      <alignment vertical="center" wrapText="1"/>
    </xf>
    <xf numFmtId="0" fontId="0" fillId="0" borderId="80" xfId="0" applyBorder="1" applyAlignment="1">
      <alignment vertical="center" wrapText="1"/>
    </xf>
    <xf numFmtId="0" fontId="0" fillId="0" borderId="87" xfId="0" applyBorder="1" applyAlignment="1">
      <alignment vertical="center" wrapText="1"/>
    </xf>
    <xf numFmtId="0" fontId="3" fillId="0" borderId="45" xfId="0" applyFont="1" applyBorder="1"/>
    <xf numFmtId="0" fontId="89" fillId="0" borderId="14" xfId="58" applyFont="1" applyFill="1" applyBorder="1" applyAlignment="1" applyProtection="1">
      <alignment horizontal="center" vertical="center" wrapText="1"/>
    </xf>
    <xf numFmtId="3" fontId="7" fillId="33" borderId="6" xfId="71" applyNumberFormat="1" applyFill="1" applyBorder="1" applyAlignment="1" applyProtection="1">
      <alignment vertical="center"/>
      <protection locked="0"/>
    </xf>
    <xf numFmtId="3" fontId="7" fillId="33" borderId="6" xfId="69" applyNumberFormat="1" applyFill="1" applyBorder="1" applyAlignment="1" applyProtection="1">
      <alignment vertical="center"/>
      <protection locked="0"/>
    </xf>
    <xf numFmtId="3" fontId="3" fillId="33" borderId="6" xfId="71" applyNumberFormat="1" applyFont="1" applyFill="1" applyBorder="1" applyAlignment="1" applyProtection="1">
      <alignment vertical="center"/>
      <protection locked="0"/>
    </xf>
    <xf numFmtId="0" fontId="76" fillId="0" borderId="0" xfId="0" applyFont="1" applyAlignment="1">
      <alignment vertical="center"/>
    </xf>
    <xf numFmtId="168" fontId="3" fillId="28" borderId="69" xfId="76" applyFont="1" applyFill="1" applyBorder="1" applyAlignment="1" applyProtection="1">
      <alignment horizontal="center" vertical="center"/>
      <protection hidden="1"/>
    </xf>
    <xf numFmtId="4" fontId="82" fillId="0" borderId="0" xfId="0" applyNumberFormat="1" applyFont="1" applyAlignment="1">
      <alignment horizontal="right"/>
    </xf>
    <xf numFmtId="4" fontId="5" fillId="29" borderId="0" xfId="76" applyNumberFormat="1" applyFont="1" applyFill="1" applyAlignment="1">
      <alignment vertical="center"/>
    </xf>
    <xf numFmtId="168" fontId="82" fillId="0" borderId="0" xfId="76" applyFont="1"/>
    <xf numFmtId="168" fontId="82" fillId="0" borderId="0" xfId="76" applyFont="1" applyAlignment="1">
      <alignment horizontal="center" vertical="center"/>
    </xf>
    <xf numFmtId="168" fontId="20" fillId="28" borderId="47" xfId="76" applyFill="1" applyBorder="1" applyAlignment="1" applyProtection="1">
      <alignment vertical="center"/>
      <protection hidden="1"/>
    </xf>
    <xf numFmtId="165" fontId="5" fillId="28" borderId="47" xfId="76" applyNumberFormat="1" applyFont="1" applyFill="1" applyBorder="1" applyAlignment="1" applyProtection="1">
      <alignment vertical="center"/>
      <protection hidden="1"/>
    </xf>
    <xf numFmtId="166" fontId="3" fillId="0" borderId="4" xfId="0" applyNumberFormat="1" applyFont="1" applyBorder="1" applyAlignment="1">
      <alignment vertical="center"/>
    </xf>
    <xf numFmtId="1" fontId="3" fillId="33" borderId="17" xfId="76" applyNumberFormat="1" applyFont="1" applyFill="1" applyBorder="1" applyAlignment="1" applyProtection="1">
      <alignment vertical="center"/>
      <protection locked="0"/>
    </xf>
    <xf numFmtId="168" fontId="55" fillId="0" borderId="39" xfId="76" applyFont="1" applyBorder="1" applyAlignment="1">
      <alignment horizontal="left" vertical="center"/>
    </xf>
    <xf numFmtId="0" fontId="69" fillId="0" borderId="0" xfId="68" applyFont="1" applyFill="1" applyBorder="1" applyAlignment="1" applyProtection="1">
      <alignment horizontal="center" vertical="center" wrapText="1"/>
    </xf>
    <xf numFmtId="168" fontId="90" fillId="0" borderId="0" xfId="76" applyFont="1" applyAlignment="1">
      <alignment horizontal="right"/>
    </xf>
    <xf numFmtId="179" fontId="3" fillId="33" borderId="20" xfId="76" applyNumberFormat="1" applyFont="1" applyFill="1" applyBorder="1" applyAlignment="1" applyProtection="1">
      <alignment vertical="center"/>
      <protection locked="0"/>
    </xf>
    <xf numFmtId="179" fontId="5" fillId="28" borderId="47" xfId="76" applyNumberFormat="1" applyFont="1" applyFill="1" applyBorder="1" applyAlignment="1">
      <alignment vertical="center"/>
    </xf>
    <xf numFmtId="179" fontId="3" fillId="33" borderId="6" xfId="76" applyNumberFormat="1" applyFont="1" applyFill="1" applyBorder="1" applyAlignment="1" applyProtection="1">
      <alignment vertical="center"/>
      <protection locked="0"/>
    </xf>
    <xf numFmtId="179" fontId="3" fillId="33" borderId="62" xfId="76" applyNumberFormat="1" applyFont="1" applyFill="1" applyBorder="1" applyAlignment="1" applyProtection="1">
      <alignment vertical="center"/>
      <protection locked="0"/>
    </xf>
    <xf numFmtId="179" fontId="3" fillId="33" borderId="41" xfId="76" applyNumberFormat="1" applyFont="1" applyFill="1" applyBorder="1" applyAlignment="1" applyProtection="1">
      <alignment vertical="center"/>
      <protection locked="0"/>
    </xf>
    <xf numFmtId="179" fontId="3" fillId="33" borderId="50" xfId="76" applyNumberFormat="1" applyFont="1" applyFill="1" applyBorder="1" applyAlignment="1" applyProtection="1">
      <alignment vertical="center"/>
      <protection locked="0"/>
    </xf>
    <xf numFmtId="179" fontId="3" fillId="33" borderId="42" xfId="76" applyNumberFormat="1" applyFont="1" applyFill="1" applyBorder="1" applyAlignment="1" applyProtection="1">
      <alignment vertical="center"/>
      <protection locked="0"/>
    </xf>
    <xf numFmtId="179" fontId="5" fillId="28" borderId="41" xfId="76" applyNumberFormat="1" applyFont="1" applyFill="1" applyBorder="1" applyAlignment="1">
      <alignment vertical="center"/>
    </xf>
    <xf numFmtId="168" fontId="53" fillId="0" borderId="16" xfId="76" applyFont="1" applyBorder="1" applyAlignment="1">
      <alignment horizontal="left" vertical="center"/>
    </xf>
    <xf numFmtId="168" fontId="53" fillId="0" borderId="17" xfId="76" applyFont="1" applyBorder="1" applyAlignment="1">
      <alignment horizontal="left" vertical="center"/>
    </xf>
    <xf numFmtId="1" fontId="5" fillId="33" borderId="41" xfId="76" applyNumberFormat="1" applyFont="1" applyFill="1" applyBorder="1" applyAlignment="1" applyProtection="1">
      <alignment vertical="center"/>
      <protection locked="0"/>
    </xf>
    <xf numFmtId="0" fontId="76" fillId="0" borderId="0" xfId="0" applyFont="1"/>
    <xf numFmtId="1" fontId="3" fillId="28" borderId="6" xfId="76" applyNumberFormat="1" applyFont="1" applyFill="1" applyBorder="1" applyAlignment="1">
      <alignment vertical="center"/>
    </xf>
    <xf numFmtId="1" fontId="3" fillId="28" borderId="50" xfId="76" applyNumberFormat="1" applyFont="1" applyFill="1" applyBorder="1" applyAlignment="1">
      <alignment vertical="center"/>
    </xf>
    <xf numFmtId="179" fontId="3" fillId="28" borderId="20" xfId="76" applyNumberFormat="1" applyFont="1" applyFill="1" applyBorder="1" applyAlignment="1">
      <alignment vertical="center"/>
    </xf>
    <xf numFmtId="179" fontId="3" fillId="28" borderId="50" xfId="76" applyNumberFormat="1" applyFont="1" applyFill="1" applyBorder="1" applyAlignment="1">
      <alignment vertical="center"/>
    </xf>
    <xf numFmtId="0" fontId="87" fillId="0" borderId="0" xfId="68" applyFont="1" applyFill="1" applyBorder="1" applyAlignment="1" applyProtection="1">
      <alignment horizontal="left" vertical="center" wrapText="1"/>
    </xf>
    <xf numFmtId="179" fontId="3" fillId="33" borderId="63" xfId="76" applyNumberFormat="1" applyFont="1" applyFill="1" applyBorder="1" applyAlignment="1" applyProtection="1">
      <alignment vertical="center"/>
      <protection locked="0"/>
    </xf>
    <xf numFmtId="179" fontId="5" fillId="28" borderId="69" xfId="76" applyNumberFormat="1" applyFont="1" applyFill="1" applyBorder="1" applyAlignment="1">
      <alignment vertical="center"/>
    </xf>
    <xf numFmtId="168" fontId="55" fillId="0" borderId="26" xfId="76" applyFont="1" applyBorder="1" applyAlignment="1">
      <alignment horizontal="left" vertical="center" wrapText="1"/>
    </xf>
    <xf numFmtId="168" fontId="55" fillId="0" borderId="40" xfId="76" applyFont="1" applyBorder="1" applyAlignment="1">
      <alignment horizontal="left" vertical="center" wrapText="1"/>
    </xf>
    <xf numFmtId="179" fontId="3" fillId="33" borderId="19" xfId="76" applyNumberFormat="1" applyFont="1" applyFill="1" applyBorder="1" applyAlignment="1" applyProtection="1">
      <alignment vertical="center"/>
      <protection locked="0"/>
    </xf>
    <xf numFmtId="179" fontId="3" fillId="33" borderId="64" xfId="76" applyNumberFormat="1" applyFont="1" applyFill="1" applyBorder="1" applyAlignment="1" applyProtection="1">
      <alignment vertical="center"/>
      <protection locked="0"/>
    </xf>
    <xf numFmtId="179" fontId="5" fillId="28" borderId="46" xfId="76" applyNumberFormat="1" applyFont="1" applyFill="1" applyBorder="1" applyAlignment="1">
      <alignment vertical="center"/>
    </xf>
    <xf numFmtId="179" fontId="3" fillId="0" borderId="20" xfId="76" applyNumberFormat="1" applyFont="1" applyBorder="1" applyAlignment="1">
      <alignment horizontal="right" vertical="center"/>
    </xf>
    <xf numFmtId="179" fontId="3" fillId="28" borderId="20" xfId="76" applyNumberFormat="1" applyFont="1" applyFill="1" applyBorder="1" applyAlignment="1">
      <alignment horizontal="right" vertical="center"/>
    </xf>
    <xf numFmtId="179" fontId="3" fillId="28" borderId="50" xfId="76" applyNumberFormat="1" applyFont="1" applyFill="1" applyBorder="1" applyAlignment="1">
      <alignment horizontal="right" vertical="center"/>
    </xf>
    <xf numFmtId="0" fontId="77" fillId="0" borderId="0" xfId="0" applyFont="1"/>
    <xf numFmtId="0" fontId="76" fillId="0" borderId="0" xfId="0" applyFont="1" applyAlignment="1">
      <alignment horizontal="center"/>
    </xf>
    <xf numFmtId="168" fontId="76" fillId="0" borderId="83" xfId="76" applyFont="1" applyBorder="1" applyAlignment="1">
      <alignment horizontal="right" vertical="center"/>
    </xf>
    <xf numFmtId="168" fontId="91" fillId="0" borderId="83" xfId="0" applyNumberFormat="1" applyFont="1" applyBorder="1"/>
    <xf numFmtId="0" fontId="76" fillId="0" borderId="83" xfId="0" applyFont="1" applyBorder="1"/>
    <xf numFmtId="4" fontId="91" fillId="0" borderId="83" xfId="0" applyNumberFormat="1" applyFont="1" applyBorder="1" applyAlignment="1">
      <alignment horizontal="right" vertical="center"/>
    </xf>
    <xf numFmtId="0" fontId="77" fillId="0" borderId="24" xfId="58" applyFont="1" applyBorder="1" applyAlignment="1">
      <alignment vertical="center" wrapText="1"/>
    </xf>
    <xf numFmtId="0" fontId="77" fillId="0" borderId="30" xfId="58" applyFont="1" applyBorder="1" applyAlignment="1">
      <alignment vertical="center" wrapText="1"/>
    </xf>
    <xf numFmtId="0" fontId="77" fillId="0" borderId="21" xfId="58" applyFont="1" applyBorder="1" applyAlignment="1">
      <alignment vertical="center" wrapText="1"/>
    </xf>
    <xf numFmtId="0" fontId="77" fillId="0" borderId="45" xfId="58" applyFont="1" applyBorder="1" applyAlignment="1">
      <alignment vertical="center" wrapText="1"/>
    </xf>
    <xf numFmtId="0" fontId="77" fillId="0" borderId="0" xfId="58" applyFont="1" applyBorder="1" applyAlignment="1">
      <alignment vertical="center" wrapText="1"/>
    </xf>
    <xf numFmtId="0" fontId="77" fillId="0" borderId="4" xfId="58" applyFont="1" applyBorder="1" applyAlignment="1">
      <alignment vertical="center" wrapText="1"/>
    </xf>
    <xf numFmtId="168" fontId="77" fillId="0" borderId="0" xfId="76" applyFont="1"/>
    <xf numFmtId="4" fontId="91" fillId="0" borderId="83" xfId="0" applyNumberFormat="1" applyFont="1" applyBorder="1" applyAlignment="1">
      <alignment vertical="center"/>
    </xf>
    <xf numFmtId="4" fontId="5" fillId="0" borderId="83" xfId="0" applyNumberFormat="1" applyFont="1" applyBorder="1" applyAlignment="1">
      <alignment vertical="center"/>
    </xf>
    <xf numFmtId="9" fontId="0" fillId="0" borderId="0" xfId="0" applyNumberFormat="1" applyAlignment="1" applyProtection="1">
      <alignment horizontal="center"/>
      <protection locked="0"/>
    </xf>
    <xf numFmtId="183" fontId="7" fillId="33" borderId="6" xfId="0" applyNumberFormat="1" applyFont="1" applyFill="1" applyBorder="1" applyAlignment="1" applyProtection="1">
      <alignment horizontal="center"/>
      <protection locked="0"/>
    </xf>
    <xf numFmtId="49" fontId="3" fillId="33" borderId="28" xfId="79" applyNumberFormat="1" applyFont="1" applyFill="1" applyBorder="1" applyAlignment="1" applyProtection="1">
      <alignment horizontal="center"/>
      <protection locked="0"/>
    </xf>
    <xf numFmtId="49" fontId="3" fillId="33" borderId="33" xfId="79" applyNumberFormat="1" applyFont="1" applyFill="1" applyBorder="1" applyAlignment="1" applyProtection="1">
      <alignment horizontal="center"/>
      <protection locked="0"/>
    </xf>
    <xf numFmtId="0" fontId="3" fillId="0" borderId="44" xfId="58" applyFont="1" applyBorder="1" applyAlignment="1">
      <alignment horizontal="left" vertical="center" wrapText="1"/>
    </xf>
    <xf numFmtId="0" fontId="3" fillId="0" borderId="45" xfId="58" applyFont="1" applyBorder="1" applyAlignment="1">
      <alignment horizontal="left" vertical="center" wrapText="1"/>
    </xf>
    <xf numFmtId="0" fontId="3" fillId="0" borderId="28" xfId="58" applyFont="1" applyBorder="1" applyAlignment="1">
      <alignment horizontal="left" vertical="center" wrapText="1"/>
    </xf>
    <xf numFmtId="0" fontId="3" fillId="0" borderId="0" xfId="58" applyFont="1" applyBorder="1" applyAlignment="1">
      <alignment horizontal="left" vertical="center" wrapText="1"/>
    </xf>
    <xf numFmtId="0" fontId="3" fillId="0" borderId="22" xfId="58" applyFont="1" applyBorder="1" applyAlignment="1">
      <alignment horizontal="left" vertical="center" wrapText="1"/>
    </xf>
    <xf numFmtId="0" fontId="3" fillId="0" borderId="4" xfId="58" applyFont="1" applyBorder="1" applyAlignment="1">
      <alignment horizontal="left" vertical="center" wrapText="1"/>
    </xf>
    <xf numFmtId="0" fontId="3" fillId="0" borderId="44"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0" xfId="0" applyFont="1" applyAlignment="1">
      <alignment horizontal="center" vertical="center" wrapText="1"/>
    </xf>
    <xf numFmtId="0" fontId="3" fillId="0" borderId="30"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1" xfId="0" applyFont="1" applyBorder="1" applyAlignment="1">
      <alignment horizontal="center" vertical="center" wrapText="1"/>
    </xf>
    <xf numFmtId="0" fontId="77" fillId="0" borderId="44" xfId="58" applyFont="1" applyBorder="1" applyAlignment="1">
      <alignment horizontal="left" vertical="center" wrapText="1"/>
    </xf>
    <xf numFmtId="0" fontId="77" fillId="0" borderId="45" xfId="58" applyFont="1" applyBorder="1" applyAlignment="1">
      <alignment horizontal="left" vertical="center" wrapText="1"/>
    </xf>
    <xf numFmtId="0" fontId="77" fillId="0" borderId="28" xfId="58" applyFont="1" applyBorder="1" applyAlignment="1">
      <alignment horizontal="left" vertical="center" wrapText="1"/>
    </xf>
    <xf numFmtId="0" fontId="77" fillId="0" borderId="0" xfId="58" applyFont="1" applyBorder="1" applyAlignment="1">
      <alignment horizontal="left" vertical="center" wrapText="1"/>
    </xf>
    <xf numFmtId="0" fontId="77" fillId="0" borderId="22" xfId="58" applyFont="1" applyBorder="1" applyAlignment="1">
      <alignment horizontal="left" vertical="center" wrapText="1"/>
    </xf>
    <xf numFmtId="0" fontId="77" fillId="0" borderId="4" xfId="58" applyFont="1" applyBorder="1" applyAlignment="1">
      <alignment horizontal="left" vertical="center" wrapText="1"/>
    </xf>
    <xf numFmtId="0" fontId="3" fillId="0" borderId="88" xfId="58" applyFont="1" applyBorder="1" applyAlignment="1">
      <alignment horizontal="left" vertical="center" wrapText="1"/>
    </xf>
    <xf numFmtId="0" fontId="3" fillId="0" borderId="84" xfId="58" applyFont="1" applyBorder="1" applyAlignment="1">
      <alignment horizontal="left" vertical="center" wrapText="1"/>
    </xf>
    <xf numFmtId="0" fontId="3" fillId="0" borderId="89" xfId="58" applyFont="1" applyBorder="1" applyAlignment="1">
      <alignment horizontal="left" vertical="center" wrapText="1"/>
    </xf>
    <xf numFmtId="0" fontId="3" fillId="0" borderId="90" xfId="58" applyFont="1" applyBorder="1" applyAlignment="1">
      <alignment horizontal="left" vertical="center" wrapText="1"/>
    </xf>
    <xf numFmtId="0" fontId="3" fillId="0" borderId="80" xfId="58" applyFont="1" applyBorder="1" applyAlignment="1">
      <alignment horizontal="left" vertical="center" wrapText="1"/>
    </xf>
    <xf numFmtId="0" fontId="3" fillId="0" borderId="45" xfId="0" applyFont="1" applyBorder="1" applyAlignment="1">
      <alignment horizontal="center"/>
    </xf>
    <xf numFmtId="0" fontId="3" fillId="0" borderId="70" xfId="58" applyFont="1" applyBorder="1" applyAlignment="1" applyProtection="1">
      <alignment horizontal="left" vertical="center" wrapText="1"/>
    </xf>
    <xf numFmtId="0" fontId="3" fillId="0" borderId="5" xfId="58" applyFont="1" applyBorder="1" applyAlignment="1" applyProtection="1">
      <alignment horizontal="left" vertical="center" wrapText="1"/>
    </xf>
    <xf numFmtId="0" fontId="3" fillId="0" borderId="14" xfId="58" applyFont="1" applyBorder="1" applyAlignment="1" applyProtection="1">
      <alignment horizontal="left" vertical="center" wrapText="1"/>
    </xf>
    <xf numFmtId="0" fontId="3" fillId="0" borderId="0" xfId="58" applyFont="1" applyBorder="1" applyAlignment="1" applyProtection="1">
      <alignment horizontal="left" vertical="center" wrapText="1"/>
    </xf>
    <xf numFmtId="0" fontId="3" fillId="0" borderId="16" xfId="58" applyFont="1" applyBorder="1" applyAlignment="1" applyProtection="1">
      <alignment horizontal="left" vertical="center" wrapText="1"/>
    </xf>
    <xf numFmtId="0" fontId="3" fillId="0" borderId="17" xfId="58" applyFont="1" applyBorder="1" applyAlignment="1" applyProtection="1">
      <alignment horizontal="left" vertical="center" wrapText="1"/>
    </xf>
    <xf numFmtId="0" fontId="3" fillId="0" borderId="0" xfId="0" applyFont="1" applyAlignment="1">
      <alignment horizontal="right"/>
    </xf>
    <xf numFmtId="0" fontId="3" fillId="0" borderId="30" xfId="0" applyFont="1" applyBorder="1" applyAlignment="1">
      <alignment horizontal="right"/>
    </xf>
    <xf numFmtId="0" fontId="3" fillId="0" borderId="44" xfId="58" applyFont="1" applyFill="1" applyBorder="1" applyAlignment="1" applyProtection="1">
      <alignment horizontal="left" vertical="center" wrapText="1"/>
    </xf>
    <xf numFmtId="0" fontId="3" fillId="0" borderId="45" xfId="58" applyFont="1" applyFill="1" applyBorder="1" applyAlignment="1" applyProtection="1">
      <alignment horizontal="left" vertical="center" wrapText="1"/>
    </xf>
    <xf numFmtId="0" fontId="3" fillId="0" borderId="28" xfId="58" applyFont="1" applyFill="1" applyBorder="1" applyAlignment="1" applyProtection="1">
      <alignment horizontal="left" vertical="center" wrapText="1"/>
    </xf>
    <xf numFmtId="0" fontId="3" fillId="0" borderId="0" xfId="58" applyFont="1" applyFill="1" applyBorder="1" applyAlignment="1" applyProtection="1">
      <alignment horizontal="left" vertical="center" wrapText="1"/>
    </xf>
    <xf numFmtId="0" fontId="3" fillId="0" borderId="22" xfId="58" applyFont="1" applyFill="1" applyBorder="1" applyAlignment="1" applyProtection="1">
      <alignment horizontal="left" vertical="center" wrapText="1"/>
    </xf>
    <xf numFmtId="0" fontId="3" fillId="0" borderId="4" xfId="58" applyFont="1" applyFill="1" applyBorder="1" applyAlignment="1" applyProtection="1">
      <alignment horizontal="left" vertical="center" wrapText="1"/>
    </xf>
    <xf numFmtId="0" fontId="3" fillId="0" borderId="24" xfId="58" applyFont="1" applyBorder="1" applyAlignment="1">
      <alignment horizontal="left" vertical="center" wrapText="1"/>
    </xf>
    <xf numFmtId="0" fontId="3" fillId="0" borderId="30" xfId="58" applyFont="1" applyBorder="1" applyAlignment="1">
      <alignment horizontal="left" vertical="center" wrapText="1"/>
    </xf>
    <xf numFmtId="0" fontId="3" fillId="0" borderId="21" xfId="58" applyFont="1" applyBorder="1" applyAlignment="1">
      <alignment horizontal="left" vertical="center" wrapText="1"/>
    </xf>
    <xf numFmtId="0" fontId="63" fillId="33" borderId="70" xfId="0" applyFont="1" applyFill="1" applyBorder="1" applyAlignment="1" applyProtection="1">
      <alignment horizontal="center" vertical="center"/>
      <protection locked="0"/>
    </xf>
    <xf numFmtId="0" fontId="63" fillId="33" borderId="14" xfId="0" applyFont="1" applyFill="1" applyBorder="1" applyAlignment="1" applyProtection="1">
      <alignment horizontal="center" vertical="center"/>
      <protection locked="0"/>
    </xf>
    <xf numFmtId="0" fontId="63" fillId="33" borderId="16" xfId="0" applyFont="1" applyFill="1" applyBorder="1" applyAlignment="1" applyProtection="1">
      <alignment horizontal="center" vertical="center"/>
      <protection locked="0"/>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3" fillId="0" borderId="17" xfId="0" applyFont="1" applyBorder="1" applyAlignment="1">
      <alignment horizontal="left" vertical="center" wrapText="1"/>
    </xf>
    <xf numFmtId="0" fontId="5" fillId="34" borderId="5" xfId="0" applyFont="1" applyFill="1" applyBorder="1" applyAlignment="1">
      <alignment horizontal="center" vertical="center"/>
    </xf>
    <xf numFmtId="0" fontId="5" fillId="34" borderId="65" xfId="0" applyFont="1" applyFill="1" applyBorder="1" applyAlignment="1">
      <alignment horizontal="center" vertical="center"/>
    </xf>
    <xf numFmtId="0" fontId="5" fillId="34" borderId="4" xfId="0" applyFont="1" applyFill="1" applyBorder="1" applyAlignment="1">
      <alignment horizontal="center" vertical="center"/>
    </xf>
    <xf numFmtId="0" fontId="5" fillId="34" borderId="71" xfId="0" applyFont="1" applyFill="1" applyBorder="1" applyAlignment="1">
      <alignment horizontal="center" vertical="center"/>
    </xf>
    <xf numFmtId="0" fontId="5" fillId="34" borderId="49" xfId="0" applyFont="1" applyFill="1" applyBorder="1" applyAlignment="1">
      <alignment horizontal="center" vertical="center"/>
    </xf>
    <xf numFmtId="0" fontId="5" fillId="34" borderId="56" xfId="0" applyFont="1" applyFill="1" applyBorder="1" applyAlignment="1">
      <alignment horizontal="center" vertical="center"/>
    </xf>
    <xf numFmtId="0" fontId="5" fillId="34" borderId="23" xfId="0" applyFont="1" applyFill="1" applyBorder="1" applyAlignment="1">
      <alignment horizontal="center" vertical="center"/>
    </xf>
    <xf numFmtId="0" fontId="5" fillId="34" borderId="57" xfId="0" applyFont="1" applyFill="1" applyBorder="1" applyAlignment="1">
      <alignment horizontal="center" vertical="center"/>
    </xf>
    <xf numFmtId="168" fontId="62" fillId="34" borderId="70" xfId="76" applyFont="1" applyFill="1" applyBorder="1" applyAlignment="1" applyProtection="1">
      <alignment horizontal="center" vertical="center"/>
      <protection locked="0"/>
    </xf>
    <xf numFmtId="168" fontId="62" fillId="34" borderId="15" xfId="76" applyFont="1" applyFill="1" applyBorder="1" applyAlignment="1" applyProtection="1">
      <alignment horizontal="center" vertical="center"/>
      <protection locked="0"/>
    </xf>
    <xf numFmtId="168" fontId="62" fillId="34" borderId="48" xfId="76" applyFont="1" applyFill="1" applyBorder="1" applyAlignment="1" applyProtection="1">
      <alignment horizontal="center" vertical="center"/>
      <protection locked="0"/>
    </xf>
    <xf numFmtId="168" fontId="62" fillId="34" borderId="61" xfId="76" applyFont="1" applyFill="1" applyBorder="1" applyAlignment="1" applyProtection="1">
      <alignment horizontal="center" vertical="center"/>
      <protection locked="0"/>
    </xf>
    <xf numFmtId="0" fontId="5" fillId="34" borderId="5" xfId="0" applyFont="1" applyFill="1" applyBorder="1" applyAlignment="1">
      <alignment horizontal="center" vertical="center" wrapText="1"/>
    </xf>
    <xf numFmtId="0" fontId="5" fillId="34" borderId="65" xfId="0" applyFont="1" applyFill="1" applyBorder="1" applyAlignment="1">
      <alignment horizontal="center" vertical="center" wrapText="1"/>
    </xf>
    <xf numFmtId="0" fontId="5" fillId="34" borderId="4" xfId="0" applyFont="1" applyFill="1" applyBorder="1" applyAlignment="1">
      <alignment horizontal="center" vertical="center" wrapText="1"/>
    </xf>
    <xf numFmtId="0" fontId="5" fillId="34" borderId="71" xfId="0" applyFont="1" applyFill="1" applyBorder="1" applyAlignment="1">
      <alignment horizontal="center" vertical="center" wrapText="1"/>
    </xf>
    <xf numFmtId="0" fontId="92" fillId="0" borderId="0" xfId="0" applyFont="1" applyAlignment="1">
      <alignment vertical="center" wrapText="1"/>
    </xf>
    <xf numFmtId="0" fontId="3" fillId="0" borderId="44" xfId="58" applyFont="1" applyBorder="1" applyAlignment="1" applyProtection="1">
      <alignment horizontal="left" vertical="center" wrapText="1"/>
    </xf>
    <xf numFmtId="0" fontId="3" fillId="0" borderId="45" xfId="58" applyFont="1" applyBorder="1" applyAlignment="1" applyProtection="1">
      <alignment horizontal="left" vertical="center" wrapText="1"/>
    </xf>
    <xf numFmtId="0" fontId="3" fillId="0" borderId="28" xfId="58" applyFont="1" applyBorder="1" applyAlignment="1" applyProtection="1">
      <alignment horizontal="left" vertical="center" wrapText="1"/>
    </xf>
    <xf numFmtId="0" fontId="3" fillId="0" borderId="22" xfId="58" applyFont="1" applyBorder="1" applyAlignment="1" applyProtection="1">
      <alignment horizontal="left" vertical="center" wrapText="1"/>
    </xf>
    <xf numFmtId="0" fontId="3" fillId="0" borderId="4" xfId="58" applyFont="1" applyBorder="1" applyAlignment="1" applyProtection="1">
      <alignment horizontal="left" vertical="center" wrapText="1"/>
    </xf>
    <xf numFmtId="0" fontId="76" fillId="0" borderId="0" xfId="0" applyFont="1" applyAlignment="1">
      <alignment horizontal="center"/>
    </xf>
    <xf numFmtId="0" fontId="76" fillId="0" borderId="0" xfId="0" applyFont="1" applyAlignment="1" applyProtection="1">
      <alignment horizontal="center"/>
      <protection hidden="1"/>
    </xf>
    <xf numFmtId="0" fontId="3" fillId="0" borderId="61" xfId="67" applyFont="1" applyFill="1" applyBorder="1" applyAlignment="1" applyProtection="1">
      <alignment horizontal="left" vertical="center"/>
    </xf>
    <xf numFmtId="0" fontId="3" fillId="0" borderId="19" xfId="67" applyFont="1" applyFill="1" applyBorder="1" applyAlignment="1" applyProtection="1">
      <alignment horizontal="left" vertical="center"/>
    </xf>
    <xf numFmtId="0" fontId="3" fillId="0" borderId="15" xfId="67" applyFont="1" applyFill="1" applyBorder="1" applyAlignment="1" applyProtection="1">
      <alignment horizontal="left" vertical="center"/>
    </xf>
    <xf numFmtId="0" fontId="3" fillId="0" borderId="21" xfId="67" applyFont="1" applyFill="1" applyBorder="1" applyAlignment="1" applyProtection="1">
      <alignment horizontal="left" vertical="center"/>
    </xf>
    <xf numFmtId="166" fontId="68" fillId="0" borderId="43" xfId="0" applyNumberFormat="1" applyFont="1" applyBorder="1" applyAlignment="1">
      <alignment horizontal="right" vertical="center"/>
    </xf>
    <xf numFmtId="166" fontId="68" fillId="0" borderId="24" xfId="0" applyNumberFormat="1" applyFont="1" applyBorder="1" applyAlignment="1">
      <alignment horizontal="right" vertical="center"/>
    </xf>
    <xf numFmtId="0" fontId="68" fillId="0" borderId="14" xfId="68" applyFont="1" applyFill="1" applyBorder="1" applyAlignment="1" applyProtection="1">
      <alignment horizontal="left" vertical="center"/>
    </xf>
    <xf numFmtId="0" fontId="68" fillId="0" borderId="0" xfId="68" applyFont="1" applyFill="1" applyBorder="1" applyAlignment="1" applyProtection="1">
      <alignment horizontal="left" vertical="center"/>
    </xf>
    <xf numFmtId="0" fontId="68" fillId="0" borderId="13" xfId="68" applyFont="1" applyFill="1" applyBorder="1" applyAlignment="1" applyProtection="1">
      <alignment horizontal="left" vertical="center"/>
    </xf>
    <xf numFmtId="0" fontId="3" fillId="0" borderId="4" xfId="67" applyFont="1" applyFill="1" applyAlignment="1" applyProtection="1">
      <alignment horizontal="left" vertical="center"/>
    </xf>
    <xf numFmtId="166" fontId="72" fillId="0" borderId="14" xfId="0" applyNumberFormat="1" applyFont="1" applyBorder="1" applyAlignment="1">
      <alignment horizontal="right" vertical="center"/>
    </xf>
    <xf numFmtId="166" fontId="72" fillId="0" borderId="30" xfId="0" applyNumberFormat="1" applyFont="1" applyBorder="1" applyAlignment="1">
      <alignment horizontal="right" vertical="center"/>
    </xf>
    <xf numFmtId="0" fontId="69" fillId="0" borderId="70" xfId="68" applyFont="1" applyFill="1" applyBorder="1" applyAlignment="1" applyProtection="1">
      <alignment horizontal="left" vertical="center"/>
    </xf>
    <xf numFmtId="0" fontId="69" fillId="0" borderId="5" xfId="68" applyFont="1" applyFill="1" applyBorder="1" applyAlignment="1" applyProtection="1">
      <alignment horizontal="left" vertical="center"/>
    </xf>
    <xf numFmtId="0" fontId="69" fillId="0" borderId="65" xfId="68" applyFont="1" applyFill="1" applyBorder="1" applyAlignment="1" applyProtection="1">
      <alignment horizontal="left" vertical="center"/>
    </xf>
    <xf numFmtId="166" fontId="69" fillId="0" borderId="5" xfId="0" applyNumberFormat="1" applyFont="1" applyBorder="1" applyAlignment="1">
      <alignment horizontal="right" vertical="center"/>
    </xf>
    <xf numFmtId="166" fontId="69" fillId="0" borderId="72" xfId="0" applyNumberFormat="1" applyFont="1" applyBorder="1" applyAlignment="1">
      <alignment horizontal="right" vertical="center"/>
    </xf>
    <xf numFmtId="166" fontId="69" fillId="0" borderId="0" xfId="0" applyNumberFormat="1" applyFont="1" applyAlignment="1">
      <alignment horizontal="right" vertical="center"/>
    </xf>
    <xf numFmtId="166" fontId="69" fillId="0" borderId="30" xfId="0" applyNumberFormat="1" applyFont="1" applyBorder="1" applyAlignment="1">
      <alignment horizontal="right" vertical="center"/>
    </xf>
    <xf numFmtId="0" fontId="3" fillId="0" borderId="14" xfId="67" applyFont="1" applyFill="1" applyBorder="1" applyAlignment="1" applyProtection="1">
      <alignment horizontal="left" vertical="center"/>
    </xf>
    <xf numFmtId="0" fontId="40" fillId="0" borderId="14" xfId="0" applyFont="1" applyBorder="1" applyAlignment="1">
      <alignment horizontal="right" vertical="center"/>
    </xf>
    <xf numFmtId="0" fontId="40" fillId="0" borderId="30" xfId="0" applyFont="1" applyBorder="1" applyAlignment="1">
      <alignment horizontal="right" vertical="center"/>
    </xf>
    <xf numFmtId="181" fontId="7" fillId="0" borderId="4" xfId="71" applyNumberFormat="1" applyFill="1" applyBorder="1" applyAlignment="1" applyProtection="1">
      <alignment horizontal="center"/>
    </xf>
    <xf numFmtId="167" fontId="3" fillId="30" borderId="6" xfId="0" applyNumberFormat="1" applyFont="1" applyFill="1" applyBorder="1" applyAlignment="1">
      <alignment horizontal="right" vertical="center"/>
    </xf>
    <xf numFmtId="0" fontId="40" fillId="0" borderId="43" xfId="0" applyFont="1" applyBorder="1" applyAlignment="1">
      <alignment horizontal="right" vertical="center"/>
    </xf>
    <xf numFmtId="0" fontId="40" fillId="0" borderId="24" xfId="0" applyFont="1" applyBorder="1" applyAlignment="1">
      <alignment horizontal="right" vertical="center"/>
    </xf>
    <xf numFmtId="0" fontId="3" fillId="0" borderId="61" xfId="67" applyFont="1" applyFill="1" applyBorder="1" applyAlignment="1" applyProtection="1">
      <alignment horizontal="left" vertical="center" wrapText="1"/>
    </xf>
    <xf numFmtId="0" fontId="3" fillId="0" borderId="23" xfId="67" applyFont="1" applyFill="1" applyBorder="1" applyAlignment="1" applyProtection="1">
      <alignment horizontal="left" vertical="center" wrapText="1"/>
    </xf>
    <xf numFmtId="0" fontId="3" fillId="0" borderId="4" xfId="67" applyFont="1" applyFill="1" applyAlignment="1" applyProtection="1">
      <alignment horizontal="left" vertical="center" wrapText="1"/>
    </xf>
    <xf numFmtId="0" fontId="3" fillId="0" borderId="21" xfId="67" applyFont="1" applyFill="1" applyBorder="1" applyAlignment="1" applyProtection="1">
      <alignment horizontal="left" vertical="center" wrapText="1"/>
    </xf>
    <xf numFmtId="0" fontId="68" fillId="0" borderId="0" xfId="66" applyFont="1" applyFill="1">
      <alignment horizontal="center" vertical="center" wrapText="1"/>
    </xf>
    <xf numFmtId="167" fontId="81" fillId="30" borderId="69" xfId="0" applyNumberFormat="1" applyFont="1" applyFill="1" applyBorder="1" applyAlignment="1">
      <alignment horizontal="right" vertical="center"/>
    </xf>
    <xf numFmtId="167" fontId="81" fillId="30" borderId="46" xfId="0" applyNumberFormat="1" applyFont="1" applyFill="1" applyBorder="1" applyAlignment="1">
      <alignment horizontal="right" vertical="center"/>
    </xf>
    <xf numFmtId="166" fontId="81" fillId="30" borderId="20" xfId="0" applyNumberFormat="1" applyFont="1" applyFill="1" applyBorder="1" applyAlignment="1">
      <alignment horizontal="right" vertical="center"/>
    </xf>
    <xf numFmtId="166" fontId="81" fillId="30" borderId="19" xfId="0" applyNumberFormat="1" applyFont="1" applyFill="1" applyBorder="1" applyAlignment="1">
      <alignment horizontal="right" vertical="center"/>
    </xf>
    <xf numFmtId="0" fontId="81" fillId="0" borderId="14" xfId="0" applyFont="1" applyBorder="1" applyAlignment="1">
      <alignment horizontal="right" vertical="center"/>
    </xf>
    <xf numFmtId="0" fontId="81" fillId="0" borderId="0" xfId="0" applyFont="1" applyAlignment="1">
      <alignment horizontal="right" vertical="center"/>
    </xf>
    <xf numFmtId="0" fontId="81" fillId="0" borderId="30" xfId="0" applyFont="1" applyBorder="1" applyAlignment="1">
      <alignment horizontal="right" vertical="center"/>
    </xf>
    <xf numFmtId="0" fontId="69" fillId="0" borderId="0" xfId="68" applyFont="1" applyFill="1" applyBorder="1" applyAlignment="1" applyProtection="1">
      <alignment horizontal="right" vertical="center"/>
    </xf>
    <xf numFmtId="0" fontId="69" fillId="0" borderId="13" xfId="68" applyFont="1" applyFill="1" applyBorder="1" applyAlignment="1" applyProtection="1">
      <alignment horizontal="right" vertical="center"/>
    </xf>
    <xf numFmtId="166" fontId="3" fillId="30" borderId="20" xfId="0" applyNumberFormat="1" applyFont="1" applyFill="1" applyBorder="1" applyAlignment="1">
      <alignment horizontal="right" vertical="center"/>
    </xf>
    <xf numFmtId="166" fontId="3" fillId="30" borderId="19" xfId="0" applyNumberFormat="1" applyFont="1" applyFill="1" applyBorder="1" applyAlignment="1">
      <alignment horizontal="right" vertical="center"/>
    </xf>
    <xf numFmtId="0" fontId="3" fillId="0" borderId="23" xfId="67" applyFont="1" applyFill="1" applyBorder="1" applyAlignment="1" applyProtection="1">
      <alignment horizontal="left" vertical="center"/>
    </xf>
    <xf numFmtId="49" fontId="3" fillId="0" borderId="43" xfId="67" applyNumberFormat="1" applyFont="1" applyFill="1" applyBorder="1" applyAlignment="1" applyProtection="1">
      <alignment horizontal="left" vertical="center" wrapText="1"/>
    </xf>
    <xf numFmtId="49" fontId="3" fillId="0" borderId="15" xfId="67" applyNumberFormat="1" applyFont="1" applyFill="1" applyBorder="1" applyAlignment="1" applyProtection="1">
      <alignment horizontal="left" vertical="center" wrapText="1"/>
    </xf>
    <xf numFmtId="0" fontId="3" fillId="0" borderId="43" xfId="67" applyFont="1" applyFill="1" applyBorder="1" applyAlignment="1" applyProtection="1">
      <alignment horizontal="left" vertical="center"/>
    </xf>
    <xf numFmtId="0" fontId="40" fillId="0" borderId="28" xfId="0" applyFont="1" applyBorder="1" applyAlignment="1">
      <alignment horizontal="center" vertical="center"/>
    </xf>
    <xf numFmtId="0" fontId="40" fillId="0" borderId="0" xfId="0" applyFont="1" applyAlignment="1">
      <alignment horizontal="center" vertical="center"/>
    </xf>
    <xf numFmtId="0" fontId="40" fillId="0" borderId="30" xfId="0" applyFont="1" applyBorder="1" applyAlignment="1">
      <alignment horizontal="center" vertical="center"/>
    </xf>
    <xf numFmtId="0" fontId="40" fillId="0" borderId="22" xfId="0" applyFont="1" applyBorder="1" applyAlignment="1">
      <alignment horizontal="center" vertical="center"/>
    </xf>
    <xf numFmtId="0" fontId="40" fillId="0" borderId="4" xfId="0" applyFont="1" applyBorder="1" applyAlignment="1">
      <alignment horizontal="center" vertical="center"/>
    </xf>
    <xf numFmtId="0" fontId="40" fillId="0" borderId="21" xfId="0" applyFont="1" applyBorder="1" applyAlignment="1">
      <alignment horizontal="center" vertical="center"/>
    </xf>
    <xf numFmtId="0" fontId="81" fillId="0" borderId="0" xfId="68" applyFont="1" applyFill="1" applyBorder="1" applyAlignment="1" applyProtection="1">
      <alignment horizontal="right" vertical="center"/>
    </xf>
    <xf numFmtId="0" fontId="81" fillId="0" borderId="30" xfId="68" applyFont="1" applyFill="1" applyBorder="1" applyAlignment="1" applyProtection="1">
      <alignment horizontal="right" vertical="center"/>
    </xf>
    <xf numFmtId="166" fontId="3" fillId="30" borderId="6" xfId="0" applyNumberFormat="1" applyFont="1" applyFill="1" applyBorder="1" applyAlignment="1">
      <alignment horizontal="right" vertical="center"/>
    </xf>
    <xf numFmtId="166" fontId="81" fillId="30" borderId="6" xfId="0" applyNumberFormat="1" applyFont="1" applyFill="1" applyBorder="1" applyAlignment="1">
      <alignment horizontal="right" vertical="center"/>
    </xf>
    <xf numFmtId="167" fontId="85" fillId="30" borderId="20" xfId="0" applyNumberFormat="1" applyFont="1" applyFill="1" applyBorder="1" applyAlignment="1">
      <alignment horizontal="right" vertical="center"/>
    </xf>
    <xf numFmtId="167" fontId="85" fillId="30" borderId="19" xfId="0" applyNumberFormat="1" applyFont="1" applyFill="1" applyBorder="1" applyAlignment="1">
      <alignment horizontal="right" vertical="center"/>
    </xf>
    <xf numFmtId="0" fontId="5" fillId="0" borderId="15" xfId="67" applyFill="1" applyBorder="1" applyAlignment="1" applyProtection="1">
      <alignment horizontal="left"/>
    </xf>
    <xf numFmtId="0" fontId="5" fillId="0" borderId="4" xfId="67" applyFill="1" applyAlignment="1" applyProtection="1">
      <alignment horizontal="left"/>
    </xf>
    <xf numFmtId="0" fontId="85" fillId="0" borderId="0" xfId="0" applyFont="1" applyAlignment="1">
      <alignment horizontal="center" vertical="center"/>
    </xf>
    <xf numFmtId="0" fontId="81" fillId="0" borderId="14" xfId="67" applyFont="1" applyFill="1" applyBorder="1" applyAlignment="1" applyProtection="1">
      <alignment horizontal="right" vertical="center"/>
    </xf>
    <xf numFmtId="0" fontId="81" fillId="0" borderId="0" xfId="67" applyFont="1" applyFill="1" applyBorder="1" applyAlignment="1" applyProtection="1">
      <alignment horizontal="right" vertical="center"/>
    </xf>
    <xf numFmtId="0" fontId="81" fillId="0" borderId="30" xfId="67" applyFont="1" applyFill="1" applyBorder="1" applyAlignment="1" applyProtection="1">
      <alignment horizontal="right" vertical="center"/>
    </xf>
    <xf numFmtId="166" fontId="68" fillId="0" borderId="45" xfId="0" applyNumberFormat="1" applyFont="1" applyBorder="1" applyAlignment="1">
      <alignment horizontal="right" vertical="center"/>
    </xf>
    <xf numFmtId="166" fontId="5" fillId="0" borderId="0" xfId="0" applyNumberFormat="1" applyFont="1" applyAlignment="1">
      <alignment horizontal="right" vertical="center"/>
    </xf>
    <xf numFmtId="0" fontId="40" fillId="0" borderId="0" xfId="0" applyFont="1" applyAlignment="1">
      <alignment horizontal="right" vertical="center"/>
    </xf>
    <xf numFmtId="0" fontId="68" fillId="0" borderId="14" xfId="68" applyFont="1" applyFill="1" applyBorder="1" applyAlignment="1" applyProtection="1">
      <alignment horizontal="left"/>
    </xf>
    <xf numFmtId="0" fontId="68" fillId="0" borderId="0" xfId="68" applyFont="1" applyFill="1" applyBorder="1" applyAlignment="1" applyProtection="1">
      <alignment horizontal="left"/>
    </xf>
    <xf numFmtId="0" fontId="68" fillId="0" borderId="13" xfId="68" applyFont="1" applyFill="1" applyBorder="1" applyAlignment="1" applyProtection="1">
      <alignment horizontal="left"/>
    </xf>
    <xf numFmtId="0" fontId="81" fillId="0" borderId="70" xfId="68" applyFont="1" applyFill="1" applyBorder="1" applyAlignment="1" applyProtection="1">
      <alignment horizontal="left" vertical="center"/>
    </xf>
    <xf numFmtId="0" fontId="81" fillId="0" borderId="5" xfId="68" applyFont="1" applyFill="1" applyBorder="1" applyAlignment="1" applyProtection="1">
      <alignment horizontal="left" vertical="center"/>
    </xf>
    <xf numFmtId="0" fontId="81" fillId="0" borderId="65" xfId="68" applyFont="1" applyFill="1" applyBorder="1" applyAlignment="1" applyProtection="1">
      <alignment horizontal="left" vertical="center"/>
    </xf>
    <xf numFmtId="0" fontId="85" fillId="0" borderId="0" xfId="66" applyFont="1" applyFill="1">
      <alignment horizontal="center" vertical="center" wrapText="1"/>
    </xf>
    <xf numFmtId="180" fontId="3" fillId="0" borderId="4" xfId="69" applyNumberFormat="1" applyFont="1" applyFill="1" applyBorder="1" applyAlignment="1" applyProtection="1">
      <alignment horizontal="center"/>
    </xf>
    <xf numFmtId="180" fontId="7" fillId="0" borderId="4" xfId="69" applyNumberFormat="1" applyFill="1" applyBorder="1" applyAlignment="1" applyProtection="1">
      <alignment horizontal="center"/>
    </xf>
    <xf numFmtId="0" fontId="69" fillId="0" borderId="14" xfId="68" applyFont="1" applyFill="1" applyBorder="1" applyAlignment="1" applyProtection="1">
      <alignment horizontal="left" vertical="center"/>
    </xf>
    <xf numFmtId="0" fontId="69" fillId="0" borderId="0" xfId="68" applyFont="1" applyFill="1" applyBorder="1" applyAlignment="1" applyProtection="1">
      <alignment horizontal="left" vertical="center"/>
    </xf>
    <xf numFmtId="0" fontId="69" fillId="0" borderId="13" xfId="68" applyFont="1" applyFill="1" applyBorder="1" applyAlignment="1" applyProtection="1">
      <alignment horizontal="left" vertical="center"/>
    </xf>
    <xf numFmtId="166" fontId="3" fillId="30" borderId="50" xfId="0" applyNumberFormat="1" applyFont="1" applyFill="1" applyBorder="1" applyAlignment="1">
      <alignment horizontal="right" vertical="center"/>
    </xf>
    <xf numFmtId="166" fontId="81" fillId="30" borderId="33" xfId="0" applyNumberFormat="1" applyFont="1" applyFill="1" applyBorder="1" applyAlignment="1">
      <alignment horizontal="right" vertical="center"/>
    </xf>
    <xf numFmtId="166" fontId="85" fillId="30" borderId="6" xfId="0" applyNumberFormat="1" applyFont="1" applyFill="1" applyBorder="1" applyAlignment="1">
      <alignment horizontal="right" vertical="center"/>
    </xf>
    <xf numFmtId="166" fontId="85" fillId="30" borderId="20" xfId="0" applyNumberFormat="1" applyFont="1" applyFill="1" applyBorder="1" applyAlignment="1">
      <alignment horizontal="right" vertical="center"/>
    </xf>
    <xf numFmtId="166" fontId="85" fillId="30" borderId="19" xfId="0" applyNumberFormat="1" applyFont="1" applyFill="1" applyBorder="1" applyAlignment="1">
      <alignment horizontal="right" vertical="center"/>
    </xf>
    <xf numFmtId="0" fontId="3" fillId="0" borderId="15" xfId="68" applyFont="1" applyFill="1" applyBorder="1" applyAlignment="1" applyProtection="1">
      <alignment horizontal="left" vertical="center"/>
    </xf>
    <xf numFmtId="0" fontId="3" fillId="0" borderId="4" xfId="68" applyFont="1" applyFill="1" applyBorder="1" applyAlignment="1" applyProtection="1">
      <alignment horizontal="left" vertical="center"/>
    </xf>
    <xf numFmtId="0" fontId="3" fillId="0" borderId="21" xfId="68" applyFont="1" applyFill="1" applyBorder="1" applyAlignment="1" applyProtection="1">
      <alignment horizontal="left" vertical="center"/>
    </xf>
    <xf numFmtId="166" fontId="81" fillId="30" borderId="26" xfId="0" applyNumberFormat="1" applyFont="1" applyFill="1" applyBorder="1" applyAlignment="1">
      <alignment horizontal="right" vertical="center"/>
    </xf>
    <xf numFmtId="166" fontId="81" fillId="30" borderId="27" xfId="0" applyNumberFormat="1" applyFont="1" applyFill="1" applyBorder="1" applyAlignment="1">
      <alignment horizontal="right" vertical="center"/>
    </xf>
    <xf numFmtId="0" fontId="81" fillId="0" borderId="5" xfId="67" applyFont="1" applyFill="1" applyBorder="1" applyAlignment="1" applyProtection="1">
      <alignment horizontal="right" vertical="center"/>
    </xf>
    <xf numFmtId="0" fontId="81" fillId="0" borderId="72" xfId="67" applyFont="1" applyFill="1" applyBorder="1" applyAlignment="1" applyProtection="1">
      <alignment horizontal="right" vertical="center"/>
    </xf>
    <xf numFmtId="0" fontId="3" fillId="0" borderId="68" xfId="67" applyFont="1" applyFill="1" applyBorder="1" applyAlignment="1" applyProtection="1">
      <alignment horizontal="left" vertical="center"/>
    </xf>
    <xf numFmtId="0" fontId="3" fillId="0" borderId="29" xfId="67" applyFont="1" applyFill="1" applyBorder="1" applyAlignment="1" applyProtection="1">
      <alignment horizontal="left" vertical="center"/>
    </xf>
    <xf numFmtId="0" fontId="3" fillId="0" borderId="64" xfId="67" applyFont="1" applyFill="1" applyBorder="1" applyAlignment="1" applyProtection="1">
      <alignment horizontal="left" vertical="center"/>
    </xf>
    <xf numFmtId="0" fontId="68" fillId="0" borderId="43" xfId="68" applyFont="1" applyFill="1" applyBorder="1" applyAlignment="1" applyProtection="1">
      <alignment horizontal="right" vertical="center"/>
    </xf>
    <xf numFmtId="0" fontId="68" fillId="0" borderId="45" xfId="68" applyFont="1" applyFill="1" applyBorder="1" applyAlignment="1" applyProtection="1">
      <alignment horizontal="right" vertical="center"/>
    </xf>
    <xf numFmtId="0" fontId="68" fillId="0" borderId="24" xfId="68" applyFont="1" applyFill="1" applyBorder="1" applyAlignment="1" applyProtection="1">
      <alignment horizontal="right" vertical="center"/>
    </xf>
    <xf numFmtId="0" fontId="3" fillId="0" borderId="61" xfId="68" applyFont="1" applyFill="1" applyBorder="1" applyAlignment="1" applyProtection="1">
      <alignment horizontal="left" vertical="center"/>
    </xf>
    <xf numFmtId="0" fontId="3" fillId="0" borderId="23" xfId="68" applyFont="1" applyFill="1" applyBorder="1" applyAlignment="1" applyProtection="1">
      <alignment horizontal="left" vertical="center"/>
    </xf>
    <xf numFmtId="0" fontId="3" fillId="0" borderId="19" xfId="68" applyFont="1" applyFill="1" applyBorder="1" applyAlignment="1" applyProtection="1">
      <alignment horizontal="left" vertical="center"/>
    </xf>
    <xf numFmtId="0" fontId="69" fillId="0" borderId="5" xfId="68" applyFont="1" applyFill="1" applyBorder="1" applyAlignment="1" applyProtection="1">
      <alignment horizontal="right" vertical="center"/>
    </xf>
    <xf numFmtId="0" fontId="69" fillId="0" borderId="72" xfId="68" applyFont="1" applyFill="1" applyBorder="1" applyAlignment="1" applyProtection="1">
      <alignment horizontal="right" vertical="center"/>
    </xf>
    <xf numFmtId="0" fontId="89" fillId="0" borderId="14" xfId="58" applyFont="1" applyFill="1" applyBorder="1" applyAlignment="1" applyProtection="1">
      <alignment horizontal="center" vertical="center" wrapText="1"/>
    </xf>
    <xf numFmtId="0" fontId="72" fillId="0" borderId="14" xfId="68" applyFont="1" applyFill="1" applyBorder="1" applyAlignment="1" applyProtection="1">
      <alignment horizontal="left"/>
    </xf>
    <xf numFmtId="0" fontId="72" fillId="0" borderId="0" xfId="68" applyFont="1" applyFill="1" applyBorder="1" applyAlignment="1" applyProtection="1">
      <alignment horizontal="left"/>
    </xf>
    <xf numFmtId="0" fontId="72" fillId="0" borderId="13" xfId="68" applyFont="1" applyFill="1" applyBorder="1" applyAlignment="1" applyProtection="1">
      <alignment horizontal="left"/>
    </xf>
    <xf numFmtId="0" fontId="75" fillId="0" borderId="14" xfId="0" applyFont="1" applyBorder="1" applyAlignment="1">
      <alignment horizontal="left"/>
    </xf>
    <xf numFmtId="0" fontId="75" fillId="0" borderId="0" xfId="0" applyFont="1" applyAlignment="1">
      <alignment horizontal="left"/>
    </xf>
    <xf numFmtId="0" fontId="75" fillId="0" borderId="13" xfId="0" applyFont="1" applyBorder="1" applyAlignment="1">
      <alignment horizontal="left"/>
    </xf>
    <xf numFmtId="0" fontId="74" fillId="0" borderId="17" xfId="0" applyFont="1" applyBorder="1" applyAlignment="1">
      <alignment horizontal="left" vertical="center"/>
    </xf>
    <xf numFmtId="179" fontId="7" fillId="33" borderId="6" xfId="71" applyNumberFormat="1" applyFill="1" applyBorder="1" applyAlignment="1" applyProtection="1">
      <alignment horizontal="center" vertical="center"/>
      <protection locked="0"/>
    </xf>
    <xf numFmtId="0" fontId="3" fillId="0" borderId="0" xfId="67" applyFont="1" applyFill="1" applyBorder="1" applyAlignment="1" applyProtection="1">
      <alignment horizontal="left" vertical="center"/>
    </xf>
    <xf numFmtId="0" fontId="3" fillId="0" borderId="30" xfId="67" applyFont="1" applyFill="1" applyBorder="1" applyAlignment="1" applyProtection="1">
      <alignment horizontal="left" vertical="center"/>
    </xf>
    <xf numFmtId="0" fontId="87" fillId="0" borderId="14" xfId="68" applyFont="1" applyFill="1" applyBorder="1" applyAlignment="1" applyProtection="1">
      <alignment horizontal="left"/>
    </xf>
    <xf numFmtId="0" fontId="87" fillId="0" borderId="0" xfId="68" applyFont="1" applyFill="1" applyBorder="1" applyAlignment="1" applyProtection="1">
      <alignment horizontal="left"/>
    </xf>
    <xf numFmtId="0" fontId="87" fillId="0" borderId="13" xfId="68" applyFont="1" applyFill="1" applyBorder="1" applyAlignment="1" applyProtection="1">
      <alignment horizontal="left"/>
    </xf>
    <xf numFmtId="0" fontId="75" fillId="0" borderId="14" xfId="0" applyFont="1" applyBorder="1" applyAlignment="1">
      <alignment horizontal="left" vertical="center"/>
    </xf>
    <xf numFmtId="0" fontId="75" fillId="0" borderId="0" xfId="0" applyFont="1" applyAlignment="1">
      <alignment horizontal="left" vertical="center"/>
    </xf>
    <xf numFmtId="0" fontId="22" fillId="0" borderId="15" xfId="67" applyFont="1" applyFill="1" applyBorder="1" applyAlignment="1" applyProtection="1">
      <alignment horizontal="left" vertical="center"/>
    </xf>
    <xf numFmtId="0" fontId="22" fillId="0" borderId="4" xfId="67" applyFont="1" applyFill="1" applyAlignment="1" applyProtection="1">
      <alignment horizontal="left" vertical="center"/>
    </xf>
    <xf numFmtId="0" fontId="22" fillId="0" borderId="21" xfId="67" applyFont="1" applyFill="1" applyBorder="1" applyAlignment="1" applyProtection="1">
      <alignment horizontal="left" vertical="center"/>
    </xf>
    <xf numFmtId="0" fontId="3" fillId="33" borderId="34" xfId="0" applyFont="1" applyFill="1" applyBorder="1" applyAlignment="1" applyProtection="1">
      <alignment horizontal="center" vertical="center"/>
      <protection locked="0"/>
    </xf>
    <xf numFmtId="0" fontId="3" fillId="33" borderId="33" xfId="0" applyFont="1" applyFill="1" applyBorder="1" applyAlignment="1" applyProtection="1">
      <alignment horizontal="center" vertical="center"/>
      <protection locked="0"/>
    </xf>
    <xf numFmtId="0" fontId="3" fillId="0" borderId="61" xfId="67" applyFont="1" applyFill="1" applyBorder="1" applyAlignment="1" applyProtection="1">
      <alignment horizontal="left"/>
    </xf>
    <xf numFmtId="0" fontId="3" fillId="0" borderId="23" xfId="67" applyFont="1" applyFill="1" applyBorder="1" applyAlignment="1" applyProtection="1">
      <alignment horizontal="left"/>
    </xf>
    <xf numFmtId="0" fontId="3" fillId="0" borderId="19" xfId="67" applyFont="1" applyFill="1" applyBorder="1" applyAlignment="1" applyProtection="1">
      <alignment horizontal="left"/>
    </xf>
    <xf numFmtId="0" fontId="75" fillId="0" borderId="4" xfId="66" applyFont="1" applyFill="1" applyBorder="1">
      <alignment horizontal="center" vertical="center" wrapText="1"/>
    </xf>
    <xf numFmtId="1" fontId="3" fillId="33" borderId="61" xfId="76" applyNumberFormat="1" applyFont="1" applyFill="1" applyBorder="1" applyAlignment="1" applyProtection="1">
      <alignment horizontal="left" vertical="center"/>
      <protection locked="0"/>
    </xf>
    <xf numFmtId="1" fontId="3" fillId="33" borderId="23" xfId="76" applyNumberFormat="1" applyFont="1" applyFill="1" applyBorder="1" applyAlignment="1" applyProtection="1">
      <alignment horizontal="left" vertical="center"/>
      <protection locked="0"/>
    </xf>
    <xf numFmtId="1" fontId="3" fillId="33" borderId="19" xfId="76" applyNumberFormat="1" applyFont="1" applyFill="1" applyBorder="1" applyAlignment="1" applyProtection="1">
      <alignment horizontal="left" vertical="center"/>
      <protection locked="0"/>
    </xf>
    <xf numFmtId="1" fontId="3" fillId="33" borderId="68" xfId="76" applyNumberFormat="1" applyFont="1" applyFill="1" applyBorder="1" applyAlignment="1" applyProtection="1">
      <alignment horizontal="left" vertical="center"/>
      <protection locked="0"/>
    </xf>
    <xf numFmtId="1" fontId="3" fillId="33" borderId="29" xfId="76" applyNumberFormat="1" applyFont="1" applyFill="1" applyBorder="1" applyAlignment="1" applyProtection="1">
      <alignment horizontal="left" vertical="center"/>
      <protection locked="0"/>
    </xf>
    <xf numFmtId="1" fontId="3" fillId="33" borderId="64" xfId="76" applyNumberFormat="1" applyFont="1" applyFill="1" applyBorder="1" applyAlignment="1" applyProtection="1">
      <alignment horizontal="left" vertical="center"/>
      <protection locked="0"/>
    </xf>
    <xf numFmtId="0" fontId="69" fillId="0" borderId="0" xfId="68" applyFont="1" applyFill="1" applyBorder="1" applyAlignment="1" applyProtection="1">
      <alignment horizontal="center" vertical="center" wrapText="1"/>
    </xf>
    <xf numFmtId="168" fontId="53" fillId="0" borderId="73" xfId="76" applyFont="1" applyBorder="1" applyAlignment="1">
      <alignment horizontal="left" vertical="center"/>
    </xf>
    <xf numFmtId="168" fontId="53" fillId="0" borderId="33" xfId="76" applyFont="1" applyBorder="1" applyAlignment="1">
      <alignment horizontal="left" vertical="center"/>
    </xf>
    <xf numFmtId="0" fontId="87" fillId="0" borderId="70" xfId="68" applyFont="1" applyFill="1" applyBorder="1" applyAlignment="1" applyProtection="1">
      <alignment horizontal="left" vertical="center" wrapText="1"/>
    </xf>
    <xf numFmtId="0" fontId="87" fillId="0" borderId="5" xfId="68" applyFont="1" applyFill="1" applyBorder="1" applyAlignment="1" applyProtection="1">
      <alignment horizontal="left" vertical="center" wrapText="1"/>
    </xf>
    <xf numFmtId="0" fontId="87" fillId="0" borderId="65" xfId="68" applyFont="1" applyFill="1" applyBorder="1" applyAlignment="1" applyProtection="1">
      <alignment horizontal="left" vertical="center" wrapText="1"/>
    </xf>
    <xf numFmtId="168" fontId="53" fillId="0" borderId="36" xfId="76" applyFont="1" applyBorder="1" applyAlignment="1">
      <alignment horizontal="left" vertical="center"/>
    </xf>
    <xf numFmtId="168" fontId="53" fillId="0" borderId="6" xfId="76" applyFont="1" applyBorder="1" applyAlignment="1">
      <alignment horizontal="left" vertical="center"/>
    </xf>
    <xf numFmtId="168" fontId="53" fillId="0" borderId="36" xfId="76" applyFont="1" applyBorder="1" applyAlignment="1">
      <alignment horizontal="left" vertical="center" wrapText="1"/>
    </xf>
    <xf numFmtId="168" fontId="53" fillId="0" borderId="6" xfId="76" applyFont="1" applyBorder="1" applyAlignment="1">
      <alignment horizontal="left" vertical="center" wrapText="1"/>
    </xf>
    <xf numFmtId="168" fontId="90" fillId="0" borderId="17" xfId="76" applyFont="1" applyBorder="1" applyAlignment="1">
      <alignment horizontal="right"/>
    </xf>
    <xf numFmtId="168" fontId="55" fillId="0" borderId="48" xfId="76" applyFont="1" applyBorder="1" applyAlignment="1">
      <alignment horizontal="left" vertical="center"/>
    </xf>
    <xf numFmtId="168" fontId="55" fillId="0" borderId="49" xfId="76" applyFont="1" applyBorder="1" applyAlignment="1">
      <alignment horizontal="left" vertical="center"/>
    </xf>
    <xf numFmtId="168" fontId="55" fillId="0" borderId="27" xfId="76" applyFont="1" applyBorder="1" applyAlignment="1">
      <alignment horizontal="left" vertical="center"/>
    </xf>
    <xf numFmtId="0" fontId="89" fillId="0" borderId="0" xfId="58" applyFont="1" applyFill="1" applyBorder="1" applyAlignment="1" applyProtection="1">
      <alignment horizontal="center" vertical="center" wrapText="1"/>
    </xf>
    <xf numFmtId="0" fontId="76" fillId="0" borderId="0" xfId="0" applyFont="1" applyAlignment="1">
      <alignment horizontal="left"/>
    </xf>
    <xf numFmtId="4" fontId="91" fillId="0" borderId="97" xfId="0" applyNumberFormat="1" applyFont="1" applyBorder="1" applyAlignment="1">
      <alignment horizontal="right" vertical="center"/>
    </xf>
    <xf numFmtId="4" fontId="91" fillId="0" borderId="98" xfId="0" applyNumberFormat="1" applyFont="1" applyBorder="1" applyAlignment="1">
      <alignment horizontal="right" vertical="center"/>
    </xf>
    <xf numFmtId="0" fontId="76" fillId="0" borderId="91" xfId="0" applyFont="1" applyBorder="1" applyAlignment="1">
      <alignment horizontal="left" vertical="center" wrapText="1"/>
    </xf>
    <xf numFmtId="0" fontId="76" fillId="0" borderId="92" xfId="0" applyFont="1" applyBorder="1" applyAlignment="1">
      <alignment horizontal="left" vertical="center" wrapText="1"/>
    </xf>
    <xf numFmtId="0" fontId="76" fillId="0" borderId="93" xfId="0" applyFont="1" applyBorder="1" applyAlignment="1">
      <alignment horizontal="left" vertical="center" wrapText="1"/>
    </xf>
    <xf numFmtId="0" fontId="76" fillId="0" borderId="94" xfId="0" applyFont="1" applyBorder="1" applyAlignment="1">
      <alignment horizontal="left" vertical="center" wrapText="1"/>
    </xf>
    <xf numFmtId="0" fontId="76" fillId="0" borderId="95" xfId="0" applyFont="1" applyBorder="1" applyAlignment="1">
      <alignment horizontal="left" vertical="center" wrapText="1"/>
    </xf>
    <xf numFmtId="0" fontId="76" fillId="0" borderId="96" xfId="0" applyFont="1" applyBorder="1" applyAlignment="1">
      <alignment horizontal="left" vertical="center" wrapText="1"/>
    </xf>
    <xf numFmtId="0" fontId="76" fillId="0" borderId="83" xfId="0" applyFont="1" applyBorder="1" applyAlignment="1">
      <alignment horizontal="left"/>
    </xf>
    <xf numFmtId="168" fontId="82" fillId="0" borderId="0" xfId="76" applyFont="1" applyAlignment="1">
      <alignment horizontal="right" vertical="center"/>
    </xf>
    <xf numFmtId="168" fontId="82" fillId="0" borderId="13" xfId="76" applyFont="1" applyBorder="1" applyAlignment="1">
      <alignment horizontal="right" vertical="center"/>
    </xf>
    <xf numFmtId="168" fontId="3" fillId="0" borderId="61" xfId="76" applyFont="1" applyBorder="1" applyAlignment="1">
      <alignment horizontal="left" vertical="center"/>
    </xf>
    <xf numFmtId="168" fontId="3" fillId="0" borderId="19" xfId="76" applyFont="1" applyBorder="1" applyAlignment="1">
      <alignment horizontal="left" vertical="center"/>
    </xf>
    <xf numFmtId="168" fontId="3" fillId="0" borderId="23" xfId="76" applyFont="1" applyBorder="1" applyAlignment="1">
      <alignment horizontal="left" vertical="center"/>
    </xf>
    <xf numFmtId="168" fontId="5" fillId="0" borderId="69" xfId="76" applyFont="1" applyBorder="1" applyAlignment="1">
      <alignment horizontal="left" vertical="center"/>
    </xf>
    <xf numFmtId="168" fontId="5" fillId="0" borderId="46" xfId="76" applyFont="1" applyBorder="1" applyAlignment="1">
      <alignment horizontal="left" vertical="center"/>
    </xf>
    <xf numFmtId="168" fontId="55" fillId="0" borderId="48" xfId="76" applyFont="1" applyBorder="1" applyAlignment="1">
      <alignment horizontal="center" vertical="center"/>
    </xf>
    <xf numFmtId="168" fontId="55" fillId="0" borderId="27" xfId="76" applyFont="1" applyBorder="1" applyAlignment="1">
      <alignment horizontal="center" vertical="center"/>
    </xf>
    <xf numFmtId="168" fontId="3" fillId="0" borderId="49" xfId="76" applyFont="1" applyBorder="1" applyAlignment="1">
      <alignment horizontal="left" vertical="center"/>
    </xf>
    <xf numFmtId="179" fontId="3" fillId="33" borderId="34" xfId="76" applyNumberFormat="1" applyFont="1" applyFill="1" applyBorder="1" applyAlignment="1" applyProtection="1">
      <alignment horizontal="right" vertical="center"/>
      <protection locked="0"/>
    </xf>
    <xf numFmtId="179" fontId="3" fillId="33" borderId="33" xfId="76" applyNumberFormat="1" applyFont="1" applyFill="1" applyBorder="1" applyAlignment="1" applyProtection="1">
      <alignment horizontal="right" vertical="center"/>
      <protection locked="0"/>
    </xf>
    <xf numFmtId="168" fontId="3" fillId="0" borderId="68" xfId="76" applyFont="1" applyBorder="1" applyAlignment="1">
      <alignment horizontal="left" vertical="center"/>
    </xf>
    <xf numFmtId="168" fontId="3" fillId="0" borderId="64" xfId="76" applyFont="1" applyBorder="1" applyAlignment="1">
      <alignment horizontal="left" vertical="center"/>
    </xf>
    <xf numFmtId="179" fontId="3" fillId="28" borderId="34" xfId="76" applyNumberFormat="1" applyFont="1" applyFill="1" applyBorder="1" applyAlignment="1">
      <alignment horizontal="right" vertical="center"/>
    </xf>
    <xf numFmtId="179" fontId="3" fillId="28" borderId="33" xfId="76" applyNumberFormat="1" applyFont="1" applyFill="1" applyBorder="1" applyAlignment="1">
      <alignment horizontal="right" vertical="center"/>
    </xf>
    <xf numFmtId="168" fontId="3" fillId="0" borderId="29" xfId="76" applyFont="1" applyBorder="1" applyAlignment="1">
      <alignment horizontal="left" vertical="center"/>
    </xf>
    <xf numFmtId="168" fontId="93" fillId="0" borderId="17" xfId="76" applyFont="1" applyBorder="1" applyAlignment="1">
      <alignment horizontal="center" vertical="center"/>
    </xf>
    <xf numFmtId="168" fontId="3" fillId="0" borderId="43" xfId="76" applyFont="1" applyBorder="1" applyAlignment="1">
      <alignment horizontal="left" vertical="center" wrapText="1"/>
    </xf>
    <xf numFmtId="168" fontId="3" fillId="0" borderId="45" xfId="76" applyFont="1" applyBorder="1" applyAlignment="1">
      <alignment horizontal="left" vertical="center" wrapText="1"/>
    </xf>
    <xf numFmtId="168" fontId="3" fillId="0" borderId="15" xfId="76" applyFont="1" applyBorder="1" applyAlignment="1">
      <alignment horizontal="left" vertical="center" wrapText="1"/>
    </xf>
    <xf numFmtId="168" fontId="3" fillId="0" borderId="4" xfId="76" applyFont="1" applyBorder="1" applyAlignment="1">
      <alignment horizontal="left" vertical="center" wrapText="1"/>
    </xf>
    <xf numFmtId="168" fontId="3" fillId="0" borderId="43" xfId="76" applyFont="1" applyBorder="1" applyAlignment="1">
      <alignment horizontal="left" vertical="center"/>
    </xf>
    <xf numFmtId="168" fontId="3" fillId="0" borderId="45" xfId="76" applyFont="1" applyBorder="1" applyAlignment="1">
      <alignment horizontal="left" vertical="center"/>
    </xf>
    <xf numFmtId="168" fontId="3" fillId="0" borderId="24" xfId="76" applyFont="1" applyBorder="1" applyAlignment="1">
      <alignment horizontal="left" vertical="center"/>
    </xf>
    <xf numFmtId="168" fontId="80" fillId="0" borderId="17" xfId="76" applyFont="1" applyBorder="1" applyAlignment="1">
      <alignment horizontal="center" vertical="center"/>
    </xf>
    <xf numFmtId="168" fontId="5" fillId="0" borderId="48" xfId="76" applyFont="1" applyBorder="1" applyAlignment="1">
      <alignment horizontal="left"/>
    </xf>
    <xf numFmtId="168" fontId="5" fillId="0" borderId="49" xfId="76" applyFont="1" applyBorder="1" applyAlignment="1">
      <alignment horizontal="left"/>
    </xf>
    <xf numFmtId="168" fontId="5" fillId="0" borderId="56" xfId="76" applyFont="1" applyBorder="1" applyAlignment="1">
      <alignment horizontal="left"/>
    </xf>
    <xf numFmtId="168" fontId="94" fillId="0" borderId="0" xfId="76" applyFont="1" applyAlignment="1">
      <alignment horizontal="right" vertical="center"/>
    </xf>
    <xf numFmtId="168" fontId="94" fillId="0" borderId="13" xfId="76" applyFont="1" applyBorder="1" applyAlignment="1">
      <alignment horizontal="right" vertical="center"/>
    </xf>
    <xf numFmtId="168" fontId="5" fillId="0" borderId="0" xfId="76" applyFont="1" applyAlignment="1">
      <alignment horizontal="right" vertical="center"/>
    </xf>
    <xf numFmtId="168" fontId="5" fillId="0" borderId="13" xfId="76" applyFont="1" applyBorder="1" applyAlignment="1">
      <alignment horizontal="right" vertical="center"/>
    </xf>
    <xf numFmtId="168" fontId="82" fillId="0" borderId="0" xfId="76" applyFont="1" applyAlignment="1">
      <alignment horizontal="left" vertical="center"/>
    </xf>
    <xf numFmtId="168" fontId="82" fillId="0" borderId="13" xfId="76" applyFont="1" applyBorder="1" applyAlignment="1">
      <alignment horizontal="left" vertical="center"/>
    </xf>
    <xf numFmtId="168" fontId="95" fillId="0" borderId="0" xfId="76" applyFont="1" applyAlignment="1">
      <alignment horizontal="left" vertical="center"/>
    </xf>
    <xf numFmtId="169" fontId="81" fillId="31" borderId="69" xfId="0" applyNumberFormat="1" applyFont="1" applyFill="1" applyBorder="1" applyAlignment="1">
      <alignment horizontal="right"/>
    </xf>
    <xf numFmtId="169" fontId="81" fillId="31" borderId="25" xfId="0" applyNumberFormat="1" applyFont="1" applyFill="1" applyBorder="1" applyAlignment="1">
      <alignment horizontal="right"/>
    </xf>
    <xf numFmtId="169" fontId="81" fillId="31" borderId="46" xfId="0" applyNumberFormat="1" applyFont="1" applyFill="1" applyBorder="1" applyAlignment="1">
      <alignment horizontal="right"/>
    </xf>
    <xf numFmtId="168" fontId="96" fillId="0" borderId="0" xfId="76" applyFont="1" applyAlignment="1">
      <alignment horizontal="left" vertical="center"/>
    </xf>
    <xf numFmtId="168" fontId="96" fillId="0" borderId="13" xfId="76" applyFont="1" applyBorder="1" applyAlignment="1">
      <alignment horizontal="left" vertical="center"/>
    </xf>
    <xf numFmtId="168" fontId="82" fillId="0" borderId="0" xfId="76" applyFont="1" applyAlignment="1">
      <alignment horizontal="left" vertical="center" wrapText="1"/>
    </xf>
    <xf numFmtId="168" fontId="5" fillId="0" borderId="25" xfId="76" applyFont="1" applyBorder="1" applyAlignment="1">
      <alignment horizontal="left" vertical="center"/>
    </xf>
    <xf numFmtId="168" fontId="5" fillId="0" borderId="74" xfId="76" applyFont="1" applyBorder="1" applyAlignment="1">
      <alignment horizontal="left" vertical="center"/>
    </xf>
    <xf numFmtId="169" fontId="3" fillId="28" borderId="69" xfId="76" applyNumberFormat="1" applyFont="1" applyFill="1" applyBorder="1" applyAlignment="1">
      <alignment horizontal="right" vertical="center"/>
    </xf>
    <xf numFmtId="169" fontId="3" fillId="28" borderId="46" xfId="76" applyNumberFormat="1" applyFont="1" applyFill="1" applyBorder="1" applyAlignment="1">
      <alignment horizontal="right" vertical="center"/>
    </xf>
    <xf numFmtId="168" fontId="5" fillId="0" borderId="51" xfId="76" applyFont="1" applyBorder="1" applyAlignment="1">
      <alignment horizontal="center" vertical="center" wrapText="1"/>
    </xf>
    <xf numFmtId="168" fontId="5" fillId="0" borderId="31" xfId="76" applyFont="1" applyBorder="1" applyAlignment="1">
      <alignment horizontal="center" vertical="center" wrapText="1"/>
    </xf>
    <xf numFmtId="168" fontId="5" fillId="0" borderId="33" xfId="76" applyFont="1" applyBorder="1" applyAlignment="1">
      <alignment horizontal="center" vertical="center" wrapText="1"/>
    </xf>
    <xf numFmtId="168" fontId="5" fillId="0" borderId="67" xfId="76" applyFont="1" applyBorder="1" applyAlignment="1">
      <alignment horizontal="center" vertical="center" textRotation="90"/>
    </xf>
    <xf numFmtId="168" fontId="5" fillId="0" borderId="75" xfId="76" applyFont="1" applyBorder="1" applyAlignment="1">
      <alignment horizontal="center" vertical="center" textRotation="90"/>
    </xf>
    <xf numFmtId="168" fontId="5" fillId="0" borderId="76" xfId="76" applyFont="1" applyBorder="1" applyAlignment="1">
      <alignment horizontal="center" vertical="center" textRotation="90"/>
    </xf>
    <xf numFmtId="168" fontId="3" fillId="0" borderId="20" xfId="76" applyFont="1" applyBorder="1" applyAlignment="1">
      <alignment horizontal="left" vertical="center"/>
    </xf>
    <xf numFmtId="168" fontId="3" fillId="0" borderId="57" xfId="76" applyFont="1" applyBorder="1" applyAlignment="1">
      <alignment horizontal="left" vertical="center"/>
    </xf>
    <xf numFmtId="168" fontId="20" fillId="0" borderId="20" xfId="76" applyBorder="1" applyAlignment="1">
      <alignment horizontal="left" vertical="center"/>
    </xf>
    <xf numFmtId="168" fontId="20" fillId="0" borderId="23" xfId="76" applyBorder="1" applyAlignment="1">
      <alignment horizontal="left" vertical="center"/>
    </xf>
    <xf numFmtId="168" fontId="20" fillId="0" borderId="57" xfId="76" applyBorder="1" applyAlignment="1">
      <alignment horizontal="left" vertical="center"/>
    </xf>
    <xf numFmtId="168" fontId="3" fillId="0" borderId="63" xfId="76" applyFont="1" applyBorder="1" applyAlignment="1">
      <alignment horizontal="left" vertical="center"/>
    </xf>
    <xf numFmtId="168" fontId="3" fillId="0" borderId="59" xfId="76" applyFont="1" applyBorder="1" applyAlignment="1">
      <alignment horizontal="left" vertical="center"/>
    </xf>
    <xf numFmtId="168" fontId="20" fillId="31" borderId="60" xfId="76" applyFill="1" applyBorder="1" applyAlignment="1">
      <alignment horizontal="center" vertical="center"/>
    </xf>
    <xf numFmtId="168" fontId="20" fillId="31" borderId="46" xfId="76" applyFill="1" applyBorder="1" applyAlignment="1">
      <alignment horizontal="center" vertical="center"/>
    </xf>
    <xf numFmtId="164" fontId="81" fillId="28" borderId="69" xfId="73" applyNumberFormat="1" applyFont="1" applyFill="1" applyBorder="1" applyAlignment="1" applyProtection="1">
      <alignment horizontal="right" vertical="center"/>
    </xf>
    <xf numFmtId="164" fontId="81" fillId="28" borderId="46" xfId="73" applyNumberFormat="1" applyFont="1" applyFill="1" applyBorder="1" applyAlignment="1" applyProtection="1">
      <alignment horizontal="right" vertical="center"/>
    </xf>
    <xf numFmtId="169" fontId="5" fillId="33" borderId="63" xfId="76" applyNumberFormat="1" applyFont="1" applyFill="1" applyBorder="1" applyAlignment="1" applyProtection="1">
      <alignment horizontal="right" vertical="center"/>
      <protection locked="0"/>
    </xf>
    <xf numFmtId="169" fontId="5" fillId="33" borderId="59" xfId="76" applyNumberFormat="1" applyFont="1" applyFill="1" applyBorder="1" applyAlignment="1" applyProtection="1">
      <alignment horizontal="right" vertical="center"/>
      <protection locked="0"/>
    </xf>
    <xf numFmtId="169" fontId="3" fillId="33" borderId="69" xfId="76" applyNumberFormat="1" applyFont="1" applyFill="1" applyBorder="1" applyAlignment="1" applyProtection="1">
      <alignment horizontal="right" vertical="center"/>
      <protection locked="0"/>
    </xf>
    <xf numFmtId="169" fontId="3" fillId="33" borderId="46" xfId="76" applyNumberFormat="1" applyFont="1" applyFill="1" applyBorder="1" applyAlignment="1" applyProtection="1">
      <alignment horizontal="right" vertical="center"/>
      <protection locked="0"/>
    </xf>
    <xf numFmtId="2" fontId="3" fillId="33" borderId="34" xfId="76" applyNumberFormat="1" applyFont="1" applyFill="1" applyBorder="1" applyAlignment="1" applyProtection="1">
      <alignment horizontal="right" vertical="center"/>
      <protection locked="0"/>
    </xf>
    <xf numFmtId="2" fontId="3" fillId="33" borderId="33" xfId="76" applyNumberFormat="1" applyFont="1" applyFill="1" applyBorder="1" applyAlignment="1" applyProtection="1">
      <alignment horizontal="right" vertical="center"/>
      <protection locked="0"/>
    </xf>
    <xf numFmtId="169" fontId="5" fillId="33" borderId="26" xfId="76" applyNumberFormat="1" applyFont="1" applyFill="1" applyBorder="1" applyAlignment="1" applyProtection="1">
      <alignment horizontal="right" vertical="center"/>
      <protection locked="0"/>
    </xf>
    <xf numFmtId="169" fontId="5" fillId="33" borderId="56" xfId="76" applyNumberFormat="1" applyFont="1" applyFill="1" applyBorder="1" applyAlignment="1" applyProtection="1">
      <alignment horizontal="right" vertical="center"/>
      <protection locked="0"/>
    </xf>
    <xf numFmtId="168" fontId="69" fillId="0" borderId="0" xfId="76" applyFont="1" applyAlignment="1">
      <alignment horizontal="left" vertical="center"/>
    </xf>
    <xf numFmtId="168" fontId="3" fillId="0" borderId="17" xfId="76" applyFont="1" applyBorder="1" applyAlignment="1">
      <alignment horizontal="left" vertical="center"/>
    </xf>
    <xf numFmtId="168" fontId="5" fillId="0" borderId="77" xfId="76" applyFont="1" applyBorder="1" applyAlignment="1">
      <alignment horizontal="center" vertical="center" textRotation="90" wrapText="1"/>
    </xf>
    <xf numFmtId="168" fontId="5" fillId="0" borderId="32" xfId="76" applyFont="1" applyBorder="1" applyAlignment="1">
      <alignment horizontal="center" vertical="center" textRotation="90"/>
    </xf>
    <xf numFmtId="168" fontId="5" fillId="0" borderId="52" xfId="76" applyFont="1" applyBorder="1" applyAlignment="1">
      <alignment horizontal="center" vertical="center" textRotation="90"/>
    </xf>
    <xf numFmtId="168" fontId="3" fillId="0" borderId="26" xfId="76" applyFont="1" applyBorder="1" applyAlignment="1">
      <alignment horizontal="left" vertical="center"/>
    </xf>
    <xf numFmtId="168" fontId="3" fillId="0" borderId="56" xfId="76" applyFont="1" applyBorder="1" applyAlignment="1">
      <alignment horizontal="left" vertical="center"/>
    </xf>
    <xf numFmtId="168" fontId="5" fillId="33" borderId="69" xfId="76" applyFont="1" applyFill="1" applyBorder="1" applyAlignment="1" applyProtection="1">
      <alignment horizontal="left" vertical="center"/>
      <protection locked="0"/>
    </xf>
    <xf numFmtId="168" fontId="5" fillId="33" borderId="25" xfId="76" applyFont="1" applyFill="1" applyBorder="1" applyAlignment="1" applyProtection="1">
      <alignment horizontal="left" vertical="center"/>
      <protection locked="0"/>
    </xf>
    <xf numFmtId="168" fontId="5" fillId="33" borderId="46" xfId="76" applyFont="1" applyFill="1" applyBorder="1" applyAlignment="1" applyProtection="1">
      <alignment horizontal="left" vertical="center"/>
      <protection locked="0"/>
    </xf>
    <xf numFmtId="168" fontId="97" fillId="0" borderId="0" xfId="76" applyFont="1" applyAlignment="1">
      <alignment horizontal="left" vertical="center"/>
    </xf>
    <xf numFmtId="168" fontId="5" fillId="0" borderId="51" xfId="76" applyFont="1" applyBorder="1" applyAlignment="1">
      <alignment horizontal="center" vertical="center" textRotation="90" wrapText="1"/>
    </xf>
    <xf numFmtId="168" fontId="5" fillId="0" borderId="31" xfId="76" applyFont="1" applyBorder="1" applyAlignment="1">
      <alignment horizontal="center" vertical="center" textRotation="90"/>
    </xf>
    <xf numFmtId="168" fontId="5" fillId="0" borderId="33" xfId="76" applyFont="1" applyBorder="1" applyAlignment="1">
      <alignment horizontal="center" vertical="center" textRotation="90"/>
    </xf>
    <xf numFmtId="168" fontId="3" fillId="0" borderId="24" xfId="76" applyFont="1" applyBorder="1" applyAlignment="1">
      <alignment horizontal="left" vertical="center" wrapText="1"/>
    </xf>
    <xf numFmtId="168" fontId="3" fillId="0" borderId="21" xfId="76" applyFont="1" applyBorder="1" applyAlignment="1">
      <alignment horizontal="left" vertical="center" wrapText="1"/>
    </xf>
    <xf numFmtId="168" fontId="5" fillId="0" borderId="48" xfId="76" applyFont="1" applyBorder="1" applyAlignment="1">
      <alignment horizontal="left" vertical="center"/>
    </xf>
    <xf numFmtId="168" fontId="5" fillId="0" borderId="49" xfId="76" applyFont="1" applyBorder="1" applyAlignment="1">
      <alignment horizontal="left" vertical="center"/>
    </xf>
    <xf numFmtId="168" fontId="5" fillId="0" borderId="27" xfId="76" applyFont="1" applyBorder="1" applyAlignment="1">
      <alignment horizontal="left" vertical="center"/>
    </xf>
    <xf numFmtId="168" fontId="53" fillId="0" borderId="70" xfId="76" applyFont="1" applyBorder="1" applyAlignment="1">
      <alignment horizontal="left" vertical="center" wrapText="1"/>
    </xf>
    <xf numFmtId="168" fontId="53" fillId="0" borderId="72" xfId="76" applyFont="1" applyBorder="1" applyAlignment="1">
      <alignment horizontal="left" vertical="center" wrapText="1"/>
    </xf>
    <xf numFmtId="168" fontId="53" fillId="0" borderId="16" xfId="76" applyFont="1" applyBorder="1" applyAlignment="1">
      <alignment horizontal="left" vertical="center" wrapText="1"/>
    </xf>
    <xf numFmtId="168" fontId="53" fillId="0" borderId="78" xfId="76" applyFont="1" applyBorder="1" applyAlignment="1">
      <alignment horizontal="left" vertical="center" wrapText="1"/>
    </xf>
    <xf numFmtId="168" fontId="3" fillId="0" borderId="69" xfId="76" applyFont="1" applyBorder="1" applyAlignment="1">
      <alignment horizontal="left" vertical="center"/>
    </xf>
    <xf numFmtId="168" fontId="3" fillId="0" borderId="46" xfId="76" applyFont="1" applyBorder="1" applyAlignment="1">
      <alignment horizontal="left" vertical="center"/>
    </xf>
    <xf numFmtId="168" fontId="5" fillId="0" borderId="56" xfId="76" applyFont="1" applyBorder="1" applyAlignment="1">
      <alignment horizontal="left" vertical="center"/>
    </xf>
    <xf numFmtId="168" fontId="81" fillId="0" borderId="0" xfId="76" applyFont="1" applyAlignment="1">
      <alignment horizontal="right" vertical="center"/>
    </xf>
    <xf numFmtId="168" fontId="81" fillId="0" borderId="13" xfId="76" applyFont="1" applyBorder="1" applyAlignment="1">
      <alignment horizontal="right" vertical="center"/>
    </xf>
    <xf numFmtId="168" fontId="80" fillId="0" borderId="0" xfId="76" applyFont="1" applyAlignment="1">
      <alignment horizontal="left" vertical="center" wrapText="1"/>
    </xf>
    <xf numFmtId="168" fontId="80" fillId="0" borderId="30" xfId="76" applyFont="1" applyBorder="1" applyAlignment="1">
      <alignment horizontal="left" vertical="center" wrapText="1"/>
    </xf>
    <xf numFmtId="168" fontId="80" fillId="0" borderId="17" xfId="76" applyFont="1" applyBorder="1" applyAlignment="1">
      <alignment horizontal="left" vertical="center" wrapText="1"/>
    </xf>
    <xf numFmtId="168" fontId="80" fillId="0" borderId="78" xfId="76" applyFont="1" applyBorder="1" applyAlignment="1">
      <alignment horizontal="left" vertical="center" wrapText="1"/>
    </xf>
    <xf numFmtId="168" fontId="5" fillId="0" borderId="0" xfId="76" applyFont="1" applyAlignment="1">
      <alignment horizontal="left" vertical="center"/>
    </xf>
    <xf numFmtId="168" fontId="5" fillId="0" borderId="13" xfId="76" applyFont="1" applyBorder="1" applyAlignment="1">
      <alignment horizontal="left" vertical="center"/>
    </xf>
    <xf numFmtId="168" fontId="3" fillId="0" borderId="25" xfId="76" applyFont="1" applyBorder="1" applyAlignment="1">
      <alignment horizontal="left" vertical="center"/>
    </xf>
    <xf numFmtId="168" fontId="3" fillId="0" borderId="27" xfId="76" applyFont="1" applyBorder="1" applyAlignment="1">
      <alignment horizontal="left" vertical="center"/>
    </xf>
    <xf numFmtId="168" fontId="3" fillId="0" borderId="5" xfId="76" applyFont="1" applyBorder="1" applyAlignment="1">
      <alignment horizontal="left" vertical="center"/>
    </xf>
    <xf numFmtId="168" fontId="3" fillId="0" borderId="65" xfId="76" applyFont="1" applyBorder="1" applyAlignment="1">
      <alignment horizontal="left" vertical="center"/>
    </xf>
    <xf numFmtId="169" fontId="3" fillId="33" borderId="26" xfId="76" applyNumberFormat="1" applyFont="1" applyFill="1" applyBorder="1" applyAlignment="1" applyProtection="1">
      <alignment horizontal="right" vertical="center"/>
      <protection locked="0"/>
    </xf>
    <xf numFmtId="169" fontId="3" fillId="33" borderId="56" xfId="76" applyNumberFormat="1" applyFont="1" applyFill="1" applyBorder="1" applyAlignment="1" applyProtection="1">
      <alignment horizontal="right" vertical="center"/>
      <protection locked="0"/>
    </xf>
    <xf numFmtId="165" fontId="3" fillId="28" borderId="69" xfId="76" applyNumberFormat="1" applyFont="1" applyFill="1" applyBorder="1" applyAlignment="1">
      <alignment horizontal="right" vertical="center"/>
    </xf>
    <xf numFmtId="165" fontId="3" fillId="28" borderId="46" xfId="76" applyNumberFormat="1" applyFont="1" applyFill="1" applyBorder="1" applyAlignment="1">
      <alignment horizontal="right" vertical="center"/>
    </xf>
    <xf numFmtId="168" fontId="97" fillId="0" borderId="17" xfId="76" applyFont="1" applyBorder="1" applyAlignment="1">
      <alignment horizontal="left" vertical="center"/>
    </xf>
    <xf numFmtId="168" fontId="81" fillId="0" borderId="0" xfId="76" applyFont="1" applyAlignment="1">
      <alignment horizontal="left" vertical="center"/>
    </xf>
    <xf numFmtId="168" fontId="5" fillId="33" borderId="69" xfId="76" applyFont="1" applyFill="1" applyBorder="1" applyAlignment="1" applyProtection="1">
      <alignment horizontal="left"/>
      <protection locked="0"/>
    </xf>
    <xf numFmtId="168" fontId="5" fillId="33" borderId="25" xfId="76" applyFont="1" applyFill="1" applyBorder="1" applyAlignment="1" applyProtection="1">
      <alignment horizontal="left"/>
      <protection locked="0"/>
    </xf>
    <xf numFmtId="168" fontId="5" fillId="33" borderId="46" xfId="76" applyFont="1" applyFill="1" applyBorder="1" applyAlignment="1" applyProtection="1">
      <alignment horizontal="left"/>
      <protection locked="0"/>
    </xf>
    <xf numFmtId="169" fontId="3" fillId="33" borderId="63" xfId="76" applyNumberFormat="1" applyFont="1" applyFill="1" applyBorder="1" applyAlignment="1" applyProtection="1">
      <alignment horizontal="right" vertical="center"/>
      <protection locked="0"/>
    </xf>
    <xf numFmtId="169" fontId="3" fillId="33" borderId="59" xfId="76" applyNumberFormat="1" applyFont="1" applyFill="1" applyBorder="1" applyAlignment="1" applyProtection="1">
      <alignment horizontal="right" vertical="center"/>
      <protection locked="0"/>
    </xf>
    <xf numFmtId="0" fontId="81" fillId="0" borderId="17" xfId="67" applyFont="1" applyFill="1" applyBorder="1" applyAlignment="1" applyProtection="1">
      <alignment horizontal="center" vertical="center" wrapText="1"/>
    </xf>
    <xf numFmtId="0" fontId="89" fillId="0" borderId="14" xfId="58" applyFont="1" applyBorder="1" applyAlignment="1">
      <alignment horizontal="center" vertical="center" wrapText="1"/>
    </xf>
    <xf numFmtId="0" fontId="3" fillId="0" borderId="15" xfId="0" applyFont="1" applyBorder="1" applyAlignment="1">
      <alignment horizontal="left"/>
    </xf>
    <xf numFmtId="0" fontId="3" fillId="0" borderId="21" xfId="0" applyFont="1" applyBorder="1" applyAlignment="1">
      <alignment horizontal="left"/>
    </xf>
    <xf numFmtId="0" fontId="3" fillId="0" borderId="61" xfId="0" applyFont="1" applyBorder="1" applyAlignment="1">
      <alignment horizontal="left"/>
    </xf>
    <xf numFmtId="0" fontId="3" fillId="0" borderId="19" xfId="0" applyFont="1" applyBorder="1" applyAlignment="1">
      <alignment horizontal="left"/>
    </xf>
    <xf numFmtId="0" fontId="0" fillId="0" borderId="22" xfId="0" applyBorder="1" applyAlignment="1">
      <alignment horizontal="left"/>
    </xf>
    <xf numFmtId="0" fontId="0" fillId="0" borderId="4" xfId="0" applyBorder="1" applyAlignment="1">
      <alignment horizontal="left"/>
    </xf>
    <xf numFmtId="0" fontId="0" fillId="0" borderId="20" xfId="0" applyBorder="1" applyAlignment="1">
      <alignment horizontal="left"/>
    </xf>
    <xf numFmtId="0" fontId="0" fillId="0" borderId="23" xfId="0" applyBorder="1" applyAlignment="1">
      <alignment horizontal="left"/>
    </xf>
    <xf numFmtId="0" fontId="69" fillId="0" borderId="0" xfId="68" applyFont="1" applyFill="1" applyBorder="1" applyAlignment="1" applyProtection="1">
      <alignment horizontal="center" vertical="center"/>
    </xf>
    <xf numFmtId="0" fontId="87" fillId="0" borderId="70" xfId="68" applyFont="1" applyFill="1" applyBorder="1" applyAlignment="1" applyProtection="1">
      <alignment horizontal="left" vertical="center"/>
    </xf>
    <xf numFmtId="0" fontId="87" fillId="0" borderId="5" xfId="68" applyFont="1" applyFill="1" applyBorder="1" applyAlignment="1" applyProtection="1">
      <alignment horizontal="left" vertical="center"/>
    </xf>
    <xf numFmtId="0" fontId="87" fillId="0" borderId="65" xfId="68" applyFont="1" applyFill="1" applyBorder="1" applyAlignment="1" applyProtection="1">
      <alignment horizontal="left" vertical="center"/>
    </xf>
    <xf numFmtId="0" fontId="87" fillId="0" borderId="0" xfId="0" applyFont="1" applyAlignment="1">
      <alignment horizontal="right"/>
    </xf>
    <xf numFmtId="0" fontId="87" fillId="0" borderId="5" xfId="0" applyFont="1" applyBorder="1" applyAlignment="1">
      <alignment horizontal="right"/>
    </xf>
    <xf numFmtId="0" fontId="87" fillId="0" borderId="72" xfId="0" applyFont="1" applyBorder="1" applyAlignment="1">
      <alignment horizontal="right"/>
    </xf>
    <xf numFmtId="0" fontId="88" fillId="0" borderId="0" xfId="0" applyFont="1" applyAlignment="1">
      <alignment horizontal="right"/>
    </xf>
    <xf numFmtId="0" fontId="3" fillId="0" borderId="23" xfId="0" applyFont="1" applyBorder="1" applyAlignment="1">
      <alignment horizontal="left"/>
    </xf>
    <xf numFmtId="0" fontId="3" fillId="0" borderId="4" xfId="0" applyFont="1" applyBorder="1" applyAlignment="1">
      <alignment horizontal="left"/>
    </xf>
    <xf numFmtId="0" fontId="5" fillId="0" borderId="34"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20" xfId="66" applyFill="1" applyBorder="1">
      <alignment horizontal="center" vertical="center" wrapText="1"/>
    </xf>
    <xf numFmtId="0" fontId="5" fillId="0" borderId="23" xfId="66" applyFill="1" applyBorder="1">
      <alignment horizontal="center" vertical="center" wrapText="1"/>
    </xf>
    <xf numFmtId="0" fontId="5" fillId="0" borderId="19" xfId="66" applyFill="1" applyBorder="1">
      <alignment horizontal="center" vertical="center" wrapText="1"/>
    </xf>
    <xf numFmtId="174" fontId="3" fillId="33" borderId="28" xfId="79" applyFont="1" applyFill="1" applyBorder="1" applyAlignment="1" applyProtection="1">
      <alignment horizontal="left"/>
      <protection locked="0"/>
    </xf>
    <xf numFmtId="174" fontId="3" fillId="33" borderId="0" xfId="79" applyFont="1" applyFill="1" applyBorder="1" applyAlignment="1" applyProtection="1">
      <alignment horizontal="left"/>
      <protection locked="0"/>
    </xf>
    <xf numFmtId="174" fontId="3" fillId="33" borderId="30" xfId="79" applyFont="1" applyFill="1" applyBorder="1" applyAlignment="1" applyProtection="1">
      <alignment horizontal="left"/>
      <protection locked="0"/>
    </xf>
    <xf numFmtId="0" fontId="5" fillId="0" borderId="44" xfId="0" applyFont="1" applyBorder="1" applyAlignment="1">
      <alignment horizontal="center" vertical="center"/>
    </xf>
    <xf numFmtId="0" fontId="5" fillId="0" borderId="24" xfId="0" applyFont="1" applyBorder="1" applyAlignment="1">
      <alignment horizontal="center" vertical="center"/>
    </xf>
    <xf numFmtId="0" fontId="5" fillId="0" borderId="20"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wrapText="1"/>
    </xf>
    <xf numFmtId="0" fontId="5" fillId="0" borderId="19" xfId="0" applyFont="1" applyBorder="1" applyAlignment="1">
      <alignment horizontal="center" vertical="center" wrapText="1"/>
    </xf>
    <xf numFmtId="49" fontId="3" fillId="33" borderId="28" xfId="0" applyNumberFormat="1" applyFont="1" applyFill="1" applyBorder="1" applyAlignment="1" applyProtection="1">
      <alignment horizontal="left"/>
      <protection locked="0"/>
    </xf>
    <xf numFmtId="49" fontId="0" fillId="33" borderId="30" xfId="0" applyNumberFormat="1" applyFill="1" applyBorder="1" applyAlignment="1" applyProtection="1">
      <alignment horizontal="left"/>
      <protection locked="0"/>
    </xf>
    <xf numFmtId="49" fontId="3" fillId="33" borderId="30" xfId="0" applyNumberFormat="1" applyFont="1" applyFill="1" applyBorder="1" applyAlignment="1" applyProtection="1">
      <alignment horizontal="left"/>
      <protection locked="0"/>
    </xf>
    <xf numFmtId="0" fontId="3" fillId="33" borderId="44" xfId="0" applyFont="1" applyFill="1" applyBorder="1" applyAlignment="1" applyProtection="1">
      <alignment horizontal="left"/>
      <protection locked="0"/>
    </xf>
    <xf numFmtId="0" fontId="3" fillId="33" borderId="45" xfId="0" applyFont="1" applyFill="1" applyBorder="1" applyAlignment="1" applyProtection="1">
      <alignment horizontal="left"/>
      <protection locked="0"/>
    </xf>
    <xf numFmtId="0" fontId="3" fillId="33" borderId="24" xfId="0" applyFont="1" applyFill="1" applyBorder="1" applyAlignment="1" applyProtection="1">
      <alignment horizontal="left"/>
      <protection locked="0"/>
    </xf>
    <xf numFmtId="0" fontId="3" fillId="33" borderId="28" xfId="0" applyFont="1" applyFill="1" applyBorder="1" applyAlignment="1" applyProtection="1">
      <alignment horizontal="left"/>
      <protection locked="0"/>
    </xf>
    <xf numFmtId="0" fontId="3" fillId="33" borderId="0" xfId="0" applyFont="1" applyFill="1" applyAlignment="1" applyProtection="1">
      <alignment horizontal="left"/>
      <protection locked="0"/>
    </xf>
    <xf numFmtId="0" fontId="3" fillId="33" borderId="30" xfId="0" applyFont="1" applyFill="1" applyBorder="1" applyAlignment="1" applyProtection="1">
      <alignment horizontal="left"/>
      <protection locked="0"/>
    </xf>
    <xf numFmtId="174" fontId="3" fillId="0" borderId="44" xfId="79" applyFont="1" applyFill="1" applyBorder="1" applyAlignment="1" applyProtection="1">
      <alignment horizontal="left"/>
    </xf>
    <xf numFmtId="174" fontId="3" fillId="0" borderId="45" xfId="79" applyFont="1" applyFill="1" applyBorder="1" applyAlignment="1" applyProtection="1">
      <alignment horizontal="left"/>
    </xf>
    <xf numFmtId="174" fontId="3" fillId="0" borderId="24" xfId="79" applyFont="1" applyFill="1" applyBorder="1" applyAlignment="1" applyProtection="1">
      <alignment horizontal="left"/>
    </xf>
    <xf numFmtId="0" fontId="0" fillId="33" borderId="28" xfId="0" applyFill="1" applyBorder="1" applyAlignment="1" applyProtection="1">
      <alignment horizontal="left"/>
      <protection locked="0"/>
    </xf>
    <xf numFmtId="0" fontId="0" fillId="33" borderId="0" xfId="0" applyFill="1" applyAlignment="1" applyProtection="1">
      <alignment horizontal="left"/>
      <protection locked="0"/>
    </xf>
    <xf numFmtId="0" fontId="0" fillId="33" borderId="30" xfId="0" applyFill="1" applyBorder="1" applyAlignment="1" applyProtection="1">
      <alignment horizontal="left"/>
      <protection locked="0"/>
    </xf>
    <xf numFmtId="4" fontId="82" fillId="0" borderId="4" xfId="0" applyNumberFormat="1" applyFont="1" applyBorder="1" applyAlignment="1">
      <alignment horizontal="left"/>
    </xf>
    <xf numFmtId="4" fontId="82" fillId="0" borderId="0" xfId="0" applyNumberFormat="1" applyFont="1" applyAlignment="1">
      <alignment horizontal="left"/>
    </xf>
    <xf numFmtId="0" fontId="0" fillId="33" borderId="22" xfId="0" applyFill="1" applyBorder="1" applyAlignment="1" applyProtection="1">
      <alignment horizontal="left"/>
      <protection locked="0"/>
    </xf>
    <xf numFmtId="0" fontId="0" fillId="33" borderId="4" xfId="0" applyFill="1" applyBorder="1" applyAlignment="1" applyProtection="1">
      <alignment horizontal="left"/>
      <protection locked="0"/>
    </xf>
    <xf numFmtId="0" fontId="0" fillId="33" borderId="21" xfId="0" applyFill="1" applyBorder="1" applyAlignment="1" applyProtection="1">
      <alignment horizontal="left"/>
      <protection locked="0"/>
    </xf>
    <xf numFmtId="169" fontId="0" fillId="33" borderId="20" xfId="0" applyNumberFormat="1" applyFill="1" applyBorder="1" applyAlignment="1" applyProtection="1">
      <alignment horizontal="center"/>
      <protection locked="0"/>
    </xf>
    <xf numFmtId="169" fontId="0" fillId="33" borderId="19" xfId="0" applyNumberFormat="1" applyFill="1" applyBorder="1" applyAlignment="1" applyProtection="1">
      <alignment horizontal="center"/>
      <protection locked="0"/>
    </xf>
    <xf numFmtId="49" fontId="3" fillId="0" borderId="44" xfId="79" applyNumberFormat="1" applyFont="1" applyFill="1" applyBorder="1" applyAlignment="1" applyProtection="1">
      <alignment horizontal="left"/>
    </xf>
    <xf numFmtId="49" fontId="3" fillId="0" borderId="24" xfId="79" applyNumberFormat="1" applyFont="1" applyFill="1" applyBorder="1" applyAlignment="1" applyProtection="1">
      <alignment horizontal="left"/>
    </xf>
    <xf numFmtId="49" fontId="3" fillId="33" borderId="28" xfId="79" applyNumberFormat="1" applyFont="1" applyFill="1" applyBorder="1" applyAlignment="1" applyProtection="1">
      <alignment horizontal="left"/>
      <protection locked="0"/>
    </xf>
    <xf numFmtId="49" fontId="3" fillId="33" borderId="30" xfId="79" applyNumberFormat="1" applyFont="1" applyFill="1" applyBorder="1" applyAlignment="1" applyProtection="1">
      <alignment horizontal="left"/>
      <protection locked="0"/>
    </xf>
    <xf numFmtId="0" fontId="3" fillId="33" borderId="22" xfId="0" applyFont="1" applyFill="1" applyBorder="1" applyAlignment="1" applyProtection="1">
      <alignment horizontal="left"/>
      <protection locked="0"/>
    </xf>
    <xf numFmtId="0" fontId="3" fillId="33" borderId="4" xfId="0" applyFont="1" applyFill="1" applyBorder="1" applyAlignment="1" applyProtection="1">
      <alignment horizontal="left"/>
      <protection locked="0"/>
    </xf>
    <xf numFmtId="0" fontId="3" fillId="33" borderId="21" xfId="0" applyFont="1" applyFill="1" applyBorder="1" applyAlignment="1" applyProtection="1">
      <alignment horizontal="left"/>
      <protection locked="0"/>
    </xf>
    <xf numFmtId="4" fontId="71" fillId="0" borderId="0" xfId="0" applyNumberFormat="1" applyFont="1" applyAlignment="1">
      <alignment horizontal="left" vertical="center" wrapText="1"/>
    </xf>
    <xf numFmtId="4" fontId="71" fillId="0" borderId="4" xfId="0" applyNumberFormat="1" applyFont="1" applyBorder="1" applyAlignment="1">
      <alignment horizontal="left" vertical="center" wrapText="1"/>
    </xf>
    <xf numFmtId="168" fontId="5" fillId="33" borderId="20" xfId="76" applyFont="1" applyFill="1" applyBorder="1" applyAlignment="1" applyProtection="1">
      <alignment horizontal="left" vertical="center"/>
      <protection locked="0"/>
    </xf>
    <xf numFmtId="168" fontId="5" fillId="33" borderId="23" xfId="76" applyFont="1" applyFill="1" applyBorder="1" applyAlignment="1" applyProtection="1">
      <alignment horizontal="left" vertical="center"/>
      <protection locked="0"/>
    </xf>
    <xf numFmtId="168" fontId="5" fillId="33" borderId="19" xfId="76" applyFont="1" applyFill="1" applyBorder="1" applyAlignment="1" applyProtection="1">
      <alignment horizontal="left" vertical="center"/>
      <protection locked="0"/>
    </xf>
    <xf numFmtId="9" fontId="0" fillId="33" borderId="20" xfId="0" applyNumberFormat="1" applyFill="1" applyBorder="1" applyAlignment="1" applyProtection="1">
      <alignment horizontal="center"/>
      <protection locked="0"/>
    </xf>
    <xf numFmtId="9" fontId="0" fillId="33" borderId="19" xfId="0" applyNumberFormat="1" applyFill="1" applyBorder="1" applyAlignment="1" applyProtection="1">
      <alignment horizontal="center"/>
      <protection locked="0"/>
    </xf>
    <xf numFmtId="183" fontId="3" fillId="27" borderId="20" xfId="79" applyNumberFormat="1" applyFont="1" applyFill="1" applyBorder="1" applyAlignment="1" applyProtection="1">
      <alignment horizontal="center"/>
      <protection locked="0"/>
    </xf>
    <xf numFmtId="183" fontId="3" fillId="27" borderId="19" xfId="79" applyNumberFormat="1" applyFont="1" applyFill="1" applyBorder="1" applyAlignment="1" applyProtection="1">
      <alignment horizontal="center"/>
      <protection locked="0"/>
    </xf>
    <xf numFmtId="49" fontId="3" fillId="33" borderId="22" xfId="0" applyNumberFormat="1" applyFont="1" applyFill="1" applyBorder="1" applyAlignment="1" applyProtection="1">
      <alignment horizontal="left"/>
      <protection locked="0"/>
    </xf>
    <xf numFmtId="49" fontId="3" fillId="33" borderId="21" xfId="0" applyNumberFormat="1" applyFont="1" applyFill="1" applyBorder="1" applyAlignment="1" applyProtection="1">
      <alignment horizontal="left"/>
      <protection locked="0"/>
    </xf>
    <xf numFmtId="174" fontId="3" fillId="27" borderId="20" xfId="79" applyFont="1" applyFill="1" applyBorder="1" applyAlignment="1" applyProtection="1">
      <alignment horizontal="center"/>
      <protection locked="0"/>
    </xf>
    <xf numFmtId="174" fontId="3" fillId="27" borderId="19" xfId="79" applyFont="1" applyFill="1" applyBorder="1" applyAlignment="1" applyProtection="1">
      <alignment horizontal="center"/>
      <protection locked="0"/>
    </xf>
    <xf numFmtId="0" fontId="0" fillId="33" borderId="22" xfId="0" applyFill="1" applyBorder="1" applyAlignment="1" applyProtection="1">
      <alignment horizontal="left" vertical="top" wrapText="1"/>
      <protection locked="0"/>
    </xf>
    <xf numFmtId="0" fontId="0" fillId="33" borderId="21" xfId="0" applyFill="1" applyBorder="1" applyAlignment="1" applyProtection="1">
      <alignment horizontal="left" vertical="top" wrapText="1"/>
      <protection locked="0"/>
    </xf>
  </cellXfs>
  <cellStyles count="90">
    <cellStyle name="20% - Colore 1" xfId="1" builtinId="30" customBuiltin="1"/>
    <cellStyle name="20% - Colore 1 2" xfId="2" xr:uid="{00000000-0005-0000-0000-000001000000}"/>
    <cellStyle name="20% - Colore 1 2 2" xfId="3" xr:uid="{00000000-0005-0000-0000-000002000000}"/>
    <cellStyle name="20% - Colore 1 3" xfId="4" xr:uid="{00000000-0005-0000-0000-000003000000}"/>
    <cellStyle name="20% - Colore 2" xfId="5" builtinId="34" customBuiltin="1"/>
    <cellStyle name="20% - Colore 2 2" xfId="6" xr:uid="{00000000-0005-0000-0000-000005000000}"/>
    <cellStyle name="20% - Colore 2 2 2" xfId="7" xr:uid="{00000000-0005-0000-0000-000006000000}"/>
    <cellStyle name="20% - Colore 2 3" xfId="8" xr:uid="{00000000-0005-0000-0000-000007000000}"/>
    <cellStyle name="20% - Colore 3" xfId="9" builtinId="38" customBuiltin="1"/>
    <cellStyle name="20% - Colore 3 2" xfId="10" xr:uid="{00000000-0005-0000-0000-000009000000}"/>
    <cellStyle name="20% - Colore 3 2 2" xfId="11" xr:uid="{00000000-0005-0000-0000-00000A000000}"/>
    <cellStyle name="20% - Colore 3 3" xfId="12" xr:uid="{00000000-0005-0000-0000-00000B000000}"/>
    <cellStyle name="20% - Colore 4" xfId="13" builtinId="42" customBuiltin="1"/>
    <cellStyle name="20% - Colore 4 2" xfId="14" xr:uid="{00000000-0005-0000-0000-00000D000000}"/>
    <cellStyle name="20% - Colore 4 2 2" xfId="15" xr:uid="{00000000-0005-0000-0000-00000E000000}"/>
    <cellStyle name="20% - Colore 4 3" xfId="16" xr:uid="{00000000-0005-0000-0000-00000F000000}"/>
    <cellStyle name="20% - Colore 5" xfId="17" builtinId="46" customBuiltin="1"/>
    <cellStyle name="20% - Colore 5 2" xfId="18" xr:uid="{00000000-0005-0000-0000-000011000000}"/>
    <cellStyle name="20% - Colore 5 2 2" xfId="19" xr:uid="{00000000-0005-0000-0000-000012000000}"/>
    <cellStyle name="20% - Colore 5 3" xfId="20" xr:uid="{00000000-0005-0000-0000-000013000000}"/>
    <cellStyle name="20% - Colore 6" xfId="21" builtinId="50" customBuiltin="1"/>
    <cellStyle name="20% - Colore 6 2" xfId="22" xr:uid="{00000000-0005-0000-0000-000015000000}"/>
    <cellStyle name="20% - Colore 6 2 2" xfId="23" xr:uid="{00000000-0005-0000-0000-000016000000}"/>
    <cellStyle name="20% - Colore 6 3" xfId="24" xr:uid="{00000000-0005-0000-0000-000017000000}"/>
    <cellStyle name="40% - Colore 1" xfId="25" builtinId="31" customBuiltin="1"/>
    <cellStyle name="40% - Colore 1 2" xfId="26" xr:uid="{00000000-0005-0000-0000-000019000000}"/>
    <cellStyle name="40% - Colore 1 2 2" xfId="27" xr:uid="{00000000-0005-0000-0000-00001A000000}"/>
    <cellStyle name="40% - Colore 1 3" xfId="28" xr:uid="{00000000-0005-0000-0000-00001B000000}"/>
    <cellStyle name="40% - Colore 2" xfId="29" builtinId="35" customBuiltin="1"/>
    <cellStyle name="40% - Colore 2 2" xfId="30" xr:uid="{00000000-0005-0000-0000-00001D000000}"/>
    <cellStyle name="40% - Colore 2 2 2" xfId="31" xr:uid="{00000000-0005-0000-0000-00001E000000}"/>
    <cellStyle name="40% - Colore 2 3" xfId="32" xr:uid="{00000000-0005-0000-0000-00001F000000}"/>
    <cellStyle name="40% - Colore 3" xfId="33" builtinId="39" customBuiltin="1"/>
    <cellStyle name="40% - Colore 3 2" xfId="34" xr:uid="{00000000-0005-0000-0000-000021000000}"/>
    <cellStyle name="40% - Colore 3 2 2" xfId="35" xr:uid="{00000000-0005-0000-0000-000022000000}"/>
    <cellStyle name="40% - Colore 3 3" xfId="36" xr:uid="{00000000-0005-0000-0000-000023000000}"/>
    <cellStyle name="40% - Colore 4" xfId="37" builtinId="43" customBuiltin="1"/>
    <cellStyle name="40% - Colore 4 2" xfId="38" xr:uid="{00000000-0005-0000-0000-000025000000}"/>
    <cellStyle name="40% - Colore 4 2 2" xfId="39" xr:uid="{00000000-0005-0000-0000-000026000000}"/>
    <cellStyle name="40% - Colore 4 3" xfId="40" xr:uid="{00000000-0005-0000-0000-000027000000}"/>
    <cellStyle name="40% - Colore 5" xfId="41" builtinId="47" customBuiltin="1"/>
    <cellStyle name="40% - Colore 5 2" xfId="42" xr:uid="{00000000-0005-0000-0000-000029000000}"/>
    <cellStyle name="40% - Colore 5 2 2" xfId="43" xr:uid="{00000000-0005-0000-0000-00002A000000}"/>
    <cellStyle name="40% - Colore 5 3" xfId="44" xr:uid="{00000000-0005-0000-0000-00002B000000}"/>
    <cellStyle name="40% - Colore 6" xfId="45" builtinId="51" customBuiltin="1"/>
    <cellStyle name="40% - Colore 6 2" xfId="46" xr:uid="{00000000-0005-0000-0000-00002D000000}"/>
    <cellStyle name="40% - Colore 6 2 2" xfId="47" xr:uid="{00000000-0005-0000-0000-00002E000000}"/>
    <cellStyle name="40% - Colore 6 3" xfId="48" xr:uid="{00000000-0005-0000-0000-00002F000000}"/>
    <cellStyle name="60% - Colore 1" xfId="49" builtinId="32" customBuiltin="1"/>
    <cellStyle name="60% - Colore 2" xfId="50" builtinId="36" customBuiltin="1"/>
    <cellStyle name="60% - Colore 3" xfId="51" builtinId="40" customBuiltin="1"/>
    <cellStyle name="60% - Colore 4" xfId="52" builtinId="44" customBuiltin="1"/>
    <cellStyle name="60% - Colore 5" xfId="53" builtinId="48" customBuiltin="1"/>
    <cellStyle name="60% - Colore 6" xfId="54" builtinId="52" customBuiltin="1"/>
    <cellStyle name="Calcolo" xfId="55" builtinId="22" customBuiltin="1"/>
    <cellStyle name="Cella collegata" xfId="56" builtinId="24" customBuiltin="1"/>
    <cellStyle name="Cella da controllare" xfId="57" builtinId="23" customBuiltin="1"/>
    <cellStyle name="Collegamento ipertestuale" xfId="58" builtinId="8"/>
    <cellStyle name="Colore 1" xfId="59" builtinId="29" customBuiltin="1"/>
    <cellStyle name="Colore 2" xfId="60" builtinId="33" customBuiltin="1"/>
    <cellStyle name="Colore 3" xfId="61" builtinId="37" customBuiltin="1"/>
    <cellStyle name="Colore 4" xfId="62" builtinId="41" customBuiltin="1"/>
    <cellStyle name="Colore 5" xfId="63" builtinId="45" customBuiltin="1"/>
    <cellStyle name="Colore 6" xfId="64" builtinId="49" customBuiltin="1"/>
    <cellStyle name="Input" xfId="65" builtinId="20" customBuiltin="1"/>
    <cellStyle name="IntestazioneColonne" xfId="66" xr:uid="{00000000-0005-0000-0000-000041000000}"/>
    <cellStyle name="LabelRiga" xfId="67" xr:uid="{00000000-0005-0000-0000-000042000000}"/>
    <cellStyle name="LabelTabella" xfId="68" xr:uid="{00000000-0005-0000-0000-000043000000}"/>
    <cellStyle name="MetriCubi" xfId="69" xr:uid="{00000000-0005-0000-0000-000044000000}"/>
    <cellStyle name="MetriCubi 2" xfId="70" xr:uid="{00000000-0005-0000-0000-000045000000}"/>
    <cellStyle name="MetriQuadrati" xfId="71" xr:uid="{00000000-0005-0000-0000-000046000000}"/>
    <cellStyle name="MetriQuadrati 2" xfId="72" xr:uid="{00000000-0005-0000-0000-000047000000}"/>
    <cellStyle name="Migliaia" xfId="73" builtinId="3"/>
    <cellStyle name="Neutrale" xfId="74" builtinId="28" customBuiltin="1"/>
    <cellStyle name="Normale" xfId="0" builtinId="0"/>
    <cellStyle name="Normale 2" xfId="75" xr:uid="{00000000-0005-0000-0000-00004B000000}"/>
    <cellStyle name="Normale_Copia di costo costruzione" xfId="76" xr:uid="{00000000-0005-0000-0000-00004C000000}"/>
    <cellStyle name="Nota" xfId="77" builtinId="10" customBuiltin="1"/>
    <cellStyle name="Output" xfId="78" builtinId="21" customBuiltin="1"/>
    <cellStyle name="Percentuale" xfId="79" builtinId="5"/>
    <cellStyle name="Testo avviso" xfId="80" builtinId="11" customBuiltin="1"/>
    <cellStyle name="Testo descrittivo" xfId="81" builtinId="53" customBuiltin="1"/>
    <cellStyle name="Titolo" xfId="82" builtinId="15" customBuiltin="1"/>
    <cellStyle name="Titolo 1" xfId="83" builtinId="16" customBuiltin="1"/>
    <cellStyle name="Titolo 2" xfId="84" builtinId="17" customBuiltin="1"/>
    <cellStyle name="Titolo 3" xfId="85" builtinId="18" customBuiltin="1"/>
    <cellStyle name="Titolo 4" xfId="86" builtinId="19" customBuiltin="1"/>
    <cellStyle name="Totale" xfId="87" builtinId="25" customBuiltin="1"/>
    <cellStyle name="Valore non valido" xfId="88" builtinId="27" customBuiltin="1"/>
    <cellStyle name="Valore valido" xfId="89" builtinId="26" customBuiltin="1"/>
  </cellStyles>
  <dxfs count="128">
    <dxf>
      <fill>
        <patternFill>
          <bgColor theme="0"/>
        </patternFill>
      </fill>
    </dxf>
    <dxf>
      <fill>
        <patternFill>
          <bgColor theme="0"/>
        </patternFill>
      </fill>
    </dxf>
    <dxf>
      <fill>
        <patternFill>
          <bgColor theme="0"/>
        </patternFill>
      </fill>
    </dxf>
    <dxf>
      <fill>
        <patternFill>
          <bgColor theme="0" tint="-0.14996795556505021"/>
        </patternFill>
      </fill>
    </dxf>
    <dxf>
      <fill>
        <patternFill>
          <bgColor theme="0" tint="-0.14996795556505021"/>
        </patternFill>
      </fill>
    </dxf>
    <dxf>
      <font>
        <color theme="0"/>
      </font>
    </dxf>
    <dxf>
      <font>
        <color theme="0" tint="-0.14996795556505021"/>
      </font>
    </dxf>
    <dxf>
      <font>
        <color theme="0" tint="-0.14996795556505021"/>
      </font>
    </dxf>
    <dxf>
      <fill>
        <patternFill>
          <bgColor theme="0" tint="-0.14996795556505021"/>
        </patternFill>
      </fill>
    </dxf>
    <dxf>
      <font>
        <color theme="0" tint="-0.14996795556505021"/>
      </font>
    </dxf>
    <dxf>
      <font>
        <color theme="0"/>
      </font>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99FF99"/>
        </patternFill>
      </fill>
    </dxf>
    <dxf>
      <fill>
        <patternFill>
          <bgColor rgb="FFFFFF99"/>
        </patternFill>
      </fill>
    </dxf>
    <dxf>
      <fill>
        <patternFill>
          <bgColor rgb="FFFFFF99"/>
        </patternFill>
      </fill>
    </dxf>
    <dxf>
      <fill>
        <patternFill>
          <bgColor rgb="FF99FF99"/>
        </patternFill>
      </fill>
    </dxf>
    <dxf>
      <fill>
        <patternFill>
          <bgColor rgb="FFFFFF9B"/>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FFFF99"/>
        </patternFill>
      </fill>
    </dxf>
    <dxf>
      <fill>
        <patternFill>
          <bgColor rgb="FF99FF99"/>
        </patternFill>
      </fill>
    </dxf>
    <dxf>
      <fill>
        <patternFill>
          <bgColor rgb="FF99FF99"/>
        </patternFill>
      </fill>
    </dxf>
    <dxf>
      <fill>
        <patternFill>
          <bgColor rgb="FFFFFF99"/>
        </patternFill>
      </fill>
    </dxf>
    <dxf>
      <fill>
        <patternFill>
          <bgColor rgb="FFFFFF9B"/>
        </patternFill>
      </fill>
    </dxf>
    <dxf>
      <fill>
        <patternFill>
          <bgColor rgb="FF99FF99"/>
        </patternFill>
      </fill>
    </dxf>
    <dxf>
      <fill>
        <patternFill>
          <bgColor rgb="FFFFFF99"/>
        </patternFill>
      </fill>
    </dxf>
    <dxf>
      <fill>
        <patternFill>
          <bgColor rgb="FF99FF99"/>
        </patternFill>
      </fill>
    </dxf>
    <dxf>
      <fill>
        <patternFill>
          <bgColor rgb="FF99FF99"/>
        </patternFill>
      </fill>
    </dxf>
    <dxf>
      <fill>
        <patternFill>
          <bgColor rgb="FFFFFF99"/>
        </patternFill>
      </fill>
    </dxf>
    <dxf>
      <fill>
        <patternFill>
          <bgColor rgb="FFFFFF99"/>
        </patternFill>
      </fill>
    </dxf>
    <dxf>
      <fill>
        <patternFill>
          <bgColor rgb="FF99FF99"/>
        </patternFill>
      </fill>
    </dxf>
    <dxf>
      <fill>
        <patternFill>
          <bgColor rgb="FF99FF99"/>
        </patternFill>
      </fill>
    </dxf>
    <dxf>
      <fill>
        <patternFill>
          <bgColor rgb="FFFFFF99"/>
        </patternFill>
      </fill>
    </dxf>
    <dxf>
      <fill>
        <patternFill>
          <bgColor rgb="FFFFFF99"/>
        </patternFill>
      </fill>
    </dxf>
    <dxf>
      <fill>
        <patternFill>
          <bgColor rgb="FF99FF99"/>
        </patternFill>
      </fill>
    </dxf>
    <dxf>
      <fill>
        <patternFill>
          <bgColor rgb="FF99FF99"/>
        </patternFill>
      </fill>
    </dxf>
    <dxf>
      <fill>
        <patternFill>
          <bgColor rgb="FFFFFF99"/>
        </patternFill>
      </fill>
    </dxf>
    <dxf>
      <fill>
        <patternFill>
          <bgColor rgb="FF99FF99"/>
        </patternFill>
      </fill>
    </dxf>
    <dxf>
      <fill>
        <patternFill>
          <bgColor rgb="FFFFFF9B"/>
        </patternFill>
      </fill>
    </dxf>
    <dxf>
      <fill>
        <patternFill>
          <bgColor rgb="FFFFFF99"/>
        </patternFill>
      </fill>
    </dxf>
    <dxf>
      <fill>
        <patternFill>
          <bgColor rgb="FF99FF99"/>
        </patternFill>
      </fill>
    </dxf>
    <dxf>
      <fill>
        <patternFill>
          <bgColor rgb="FF99FF99"/>
        </patternFill>
      </fill>
    </dxf>
    <dxf>
      <fill>
        <patternFill>
          <bgColor rgb="FFFF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B"/>
        </patternFill>
      </fill>
    </dxf>
    <dxf>
      <fill>
        <patternFill>
          <bgColor rgb="FFFFFF99"/>
        </patternFill>
      </fill>
    </dxf>
    <dxf>
      <fill>
        <patternFill>
          <bgColor rgb="FF99FF99"/>
        </patternFill>
      </fill>
    </dxf>
    <dxf>
      <fill>
        <patternFill>
          <bgColor rgb="FF99FF99"/>
        </patternFill>
      </fill>
    </dxf>
    <dxf>
      <fill>
        <patternFill>
          <bgColor rgb="FFFFFF99"/>
        </patternFill>
      </fill>
    </dxf>
    <dxf>
      <fill>
        <patternFill>
          <bgColor rgb="FFFFFF99"/>
        </patternFill>
      </fill>
    </dxf>
    <dxf>
      <fill>
        <patternFill>
          <bgColor rgb="FF99FF99"/>
        </patternFill>
      </fill>
    </dxf>
    <dxf>
      <fill>
        <patternFill>
          <bgColor rgb="FF99FF99"/>
        </patternFill>
      </fill>
    </dxf>
    <dxf>
      <fill>
        <patternFill>
          <bgColor rgb="FFFFFF99"/>
        </patternFill>
      </fill>
    </dxf>
    <dxf>
      <fill>
        <patternFill>
          <bgColor rgb="FFFFFF99"/>
        </patternFill>
      </fill>
    </dxf>
    <dxf>
      <fill>
        <patternFill>
          <bgColor rgb="FF99FF99"/>
        </patternFill>
      </fill>
    </dxf>
    <dxf>
      <fill>
        <patternFill>
          <bgColor rgb="FFFFFF9B"/>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BDBDB"/>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link_oneri_urbanizzazione_cambio_uso"/><Relationship Id="rId13" Type="http://schemas.openxmlformats.org/officeDocument/2006/relationships/hyperlink" Target="#'Costo costruzione progetto'!A1"/><Relationship Id="rId3" Type="http://schemas.openxmlformats.org/officeDocument/2006/relationships/image" Target="../media/image2.png"/><Relationship Id="rId7" Type="http://schemas.openxmlformats.org/officeDocument/2006/relationships/hyperlink" Target="#'Costo costruzione statofatto'!A1"/><Relationship Id="rId12" Type="http://schemas.openxmlformats.org/officeDocument/2006/relationships/hyperlink" Target="#'Costo Costruzione'!A1"/><Relationship Id="rId2" Type="http://schemas.openxmlformats.org/officeDocument/2006/relationships/image" Target="../media/image1.jpeg"/><Relationship Id="rId16" Type="http://schemas.openxmlformats.org/officeDocument/2006/relationships/hyperlink" Target="#'Calcolo superfici edificio'!A1"/><Relationship Id="rId1" Type="http://schemas.openxmlformats.org/officeDocument/2006/relationships/hyperlink" Target="#link_monetizzazione_standards"/><Relationship Id="rId6" Type="http://schemas.openxmlformats.org/officeDocument/2006/relationships/hyperlink" Target="#'Determinazione classe'!A1"/><Relationship Id="rId11" Type="http://schemas.openxmlformats.org/officeDocument/2006/relationships/image" Target="../media/image4.png"/><Relationship Id="rId5" Type="http://schemas.openxmlformats.org/officeDocument/2006/relationships/hyperlink" Target="#link_oneri_urbanizzazione"/><Relationship Id="rId15" Type="http://schemas.openxmlformats.org/officeDocument/2006/relationships/image" Target="../media/image5.png"/><Relationship Id="rId10" Type="http://schemas.openxmlformats.org/officeDocument/2006/relationships/hyperlink" Target="#'Riepilogo oneri e costi'!A1"/><Relationship Id="rId4" Type="http://schemas.openxmlformats.org/officeDocument/2006/relationships/image" Target="../media/image3.png"/><Relationship Id="rId9" Type="http://schemas.openxmlformats.org/officeDocument/2006/relationships/hyperlink" Target="#'Riepilogo generale'!A1"/><Relationship Id="rId14" Type="http://schemas.openxmlformats.org/officeDocument/2006/relationships/hyperlink" Target="#'Calcolo superficie parcheggio'!A1"/></Relationships>
</file>

<file path=xl/drawings/_rels/drawing1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11.xml.rels><?xml version="1.0" encoding="UTF-8" standalone="yes"?>
<Relationships xmlns="http://schemas.openxmlformats.org/package/2006/relationships"><Relationship Id="rId2" Type="http://schemas.openxmlformats.org/officeDocument/2006/relationships/hyperlink" Target="#'Procedura guidata'!A1"/><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2" Type="http://schemas.openxmlformats.org/officeDocument/2006/relationships/hyperlink" Target="#'Procedura guidata'!A1"/><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drawing1.xml><?xml version="1.0" encoding="utf-8"?>
<xdr:wsDr xmlns:xdr="http://schemas.openxmlformats.org/drawingml/2006/spreadsheetDrawing" xmlns:a="http://schemas.openxmlformats.org/drawingml/2006/main">
  <xdr:twoCellAnchor editAs="oneCell">
    <xdr:from>
      <xdr:col>49</xdr:col>
      <xdr:colOff>38100</xdr:colOff>
      <xdr:row>42</xdr:row>
      <xdr:rowOff>76200</xdr:rowOff>
    </xdr:from>
    <xdr:to>
      <xdr:col>50</xdr:col>
      <xdr:colOff>238125</xdr:colOff>
      <xdr:row>44</xdr:row>
      <xdr:rowOff>114300</xdr:rowOff>
    </xdr:to>
    <xdr:pic>
      <xdr:nvPicPr>
        <xdr:cNvPr id="86252" name="Immagine 15">
          <a:hlinkClick xmlns:r="http://schemas.openxmlformats.org/officeDocument/2006/relationships" r:id="rId1"/>
          <a:extLst>
            <a:ext uri="{FF2B5EF4-FFF2-40B4-BE49-F238E27FC236}">
              <a16:creationId xmlns:a16="http://schemas.microsoft.com/office/drawing/2014/main" id="{00000000-0008-0000-0000-0000EC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458700" y="6905625"/>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32</xdr:col>
      <xdr:colOff>133350</xdr:colOff>
      <xdr:row>56</xdr:row>
      <xdr:rowOff>38100</xdr:rowOff>
    </xdr:from>
    <xdr:to>
      <xdr:col>33</xdr:col>
      <xdr:colOff>104775</xdr:colOff>
      <xdr:row>57</xdr:row>
      <xdr:rowOff>161925</xdr:rowOff>
    </xdr:to>
    <xdr:pic>
      <xdr:nvPicPr>
        <xdr:cNvPr id="86253" name="Immagine 16">
          <a:extLst>
            <a:ext uri="{FF2B5EF4-FFF2-40B4-BE49-F238E27FC236}">
              <a16:creationId xmlns:a16="http://schemas.microsoft.com/office/drawing/2014/main" id="{00000000-0008-0000-0000-0000ED5001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248650" y="9153525"/>
          <a:ext cx="2857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171450</xdr:colOff>
      <xdr:row>2</xdr:row>
      <xdr:rowOff>28575</xdr:rowOff>
    </xdr:from>
    <xdr:to>
      <xdr:col>29</xdr:col>
      <xdr:colOff>0</xdr:colOff>
      <xdr:row>5</xdr:row>
      <xdr:rowOff>0</xdr:rowOff>
    </xdr:to>
    <xdr:pic>
      <xdr:nvPicPr>
        <xdr:cNvPr id="86254" name="Immagine 2">
          <a:extLst>
            <a:ext uri="{FF2B5EF4-FFF2-40B4-BE49-F238E27FC236}">
              <a16:creationId xmlns:a16="http://schemas.microsoft.com/office/drawing/2014/main" id="{00000000-0008-0000-0000-0000EE5001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981825" y="381000"/>
          <a:ext cx="457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66675</xdr:colOff>
      <xdr:row>10</xdr:row>
      <xdr:rowOff>66675</xdr:rowOff>
    </xdr:from>
    <xdr:to>
      <xdr:col>8</xdr:col>
      <xdr:colOff>104775</xdr:colOff>
      <xdr:row>12</xdr:row>
      <xdr:rowOff>104775</xdr:rowOff>
    </xdr:to>
    <xdr:pic>
      <xdr:nvPicPr>
        <xdr:cNvPr id="86255" name="Immagine 3">
          <a:hlinkClick xmlns:r="http://schemas.openxmlformats.org/officeDocument/2006/relationships" r:id="rId5"/>
          <a:extLst>
            <a:ext uri="{FF2B5EF4-FFF2-40B4-BE49-F238E27FC236}">
              <a16:creationId xmlns:a16="http://schemas.microsoft.com/office/drawing/2014/main" id="{00000000-0008-0000-0000-0000EF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685925" y="171450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180975</xdr:colOff>
      <xdr:row>22</xdr:row>
      <xdr:rowOff>85725</xdr:rowOff>
    </xdr:from>
    <xdr:to>
      <xdr:col>7</xdr:col>
      <xdr:colOff>352425</xdr:colOff>
      <xdr:row>24</xdr:row>
      <xdr:rowOff>123825</xdr:rowOff>
    </xdr:to>
    <xdr:pic>
      <xdr:nvPicPr>
        <xdr:cNvPr id="86256" name="Immagine 4">
          <a:hlinkClick xmlns:r="http://schemas.openxmlformats.org/officeDocument/2006/relationships" r:id="rId6"/>
          <a:extLst>
            <a:ext uri="{FF2B5EF4-FFF2-40B4-BE49-F238E27FC236}">
              <a16:creationId xmlns:a16="http://schemas.microsoft.com/office/drawing/2014/main" id="{00000000-0008-0000-0000-0000F0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552575" y="367665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104775</xdr:colOff>
      <xdr:row>30</xdr:row>
      <xdr:rowOff>66675</xdr:rowOff>
    </xdr:from>
    <xdr:to>
      <xdr:col>8</xdr:col>
      <xdr:colOff>142875</xdr:colOff>
      <xdr:row>32</xdr:row>
      <xdr:rowOff>104775</xdr:rowOff>
    </xdr:to>
    <xdr:pic>
      <xdr:nvPicPr>
        <xdr:cNvPr id="86257" name="Immagine 7">
          <a:hlinkClick xmlns:r="http://schemas.openxmlformats.org/officeDocument/2006/relationships" r:id="rId1"/>
          <a:extLst>
            <a:ext uri="{FF2B5EF4-FFF2-40B4-BE49-F238E27FC236}">
              <a16:creationId xmlns:a16="http://schemas.microsoft.com/office/drawing/2014/main" id="{00000000-0008-0000-0000-0000F1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724025" y="495300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152400</xdr:colOff>
      <xdr:row>10</xdr:row>
      <xdr:rowOff>47625</xdr:rowOff>
    </xdr:from>
    <xdr:to>
      <xdr:col>28</xdr:col>
      <xdr:colOff>190500</xdr:colOff>
      <xdr:row>12</xdr:row>
      <xdr:rowOff>85725</xdr:rowOff>
    </xdr:to>
    <xdr:pic>
      <xdr:nvPicPr>
        <xdr:cNvPr id="86258" name="Immagine 8">
          <a:hlinkClick xmlns:r="http://schemas.openxmlformats.org/officeDocument/2006/relationships" r:id="rId5"/>
          <a:extLst>
            <a:ext uri="{FF2B5EF4-FFF2-40B4-BE49-F238E27FC236}">
              <a16:creationId xmlns:a16="http://schemas.microsoft.com/office/drawing/2014/main" id="{00000000-0008-0000-0000-0000F2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962775" y="169545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161925</xdr:colOff>
      <xdr:row>22</xdr:row>
      <xdr:rowOff>66675</xdr:rowOff>
    </xdr:from>
    <xdr:to>
      <xdr:col>27</xdr:col>
      <xdr:colOff>371475</xdr:colOff>
      <xdr:row>24</xdr:row>
      <xdr:rowOff>104775</xdr:rowOff>
    </xdr:to>
    <xdr:pic>
      <xdr:nvPicPr>
        <xdr:cNvPr id="86259" name="Immagine 9">
          <a:hlinkClick xmlns:r="http://schemas.openxmlformats.org/officeDocument/2006/relationships" r:id="rId6"/>
          <a:extLst>
            <a:ext uri="{FF2B5EF4-FFF2-40B4-BE49-F238E27FC236}">
              <a16:creationId xmlns:a16="http://schemas.microsoft.com/office/drawing/2014/main" id="{00000000-0008-0000-0000-0000F3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753225" y="365760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171450</xdr:colOff>
      <xdr:row>34</xdr:row>
      <xdr:rowOff>66675</xdr:rowOff>
    </xdr:from>
    <xdr:to>
      <xdr:col>28</xdr:col>
      <xdr:colOff>0</xdr:colOff>
      <xdr:row>36</xdr:row>
      <xdr:rowOff>104775</xdr:rowOff>
    </xdr:to>
    <xdr:pic>
      <xdr:nvPicPr>
        <xdr:cNvPr id="86260" name="Immagine 10">
          <a:hlinkClick xmlns:r="http://schemas.openxmlformats.org/officeDocument/2006/relationships" r:id="rId7"/>
          <a:extLst>
            <a:ext uri="{FF2B5EF4-FFF2-40B4-BE49-F238E27FC236}">
              <a16:creationId xmlns:a16="http://schemas.microsoft.com/office/drawing/2014/main" id="{00000000-0008-0000-0000-0000F4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762750" y="560070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38</xdr:col>
      <xdr:colOff>142875</xdr:colOff>
      <xdr:row>10</xdr:row>
      <xdr:rowOff>66675</xdr:rowOff>
    </xdr:from>
    <xdr:to>
      <xdr:col>39</xdr:col>
      <xdr:colOff>180975</xdr:colOff>
      <xdr:row>12</xdr:row>
      <xdr:rowOff>104775</xdr:rowOff>
    </xdr:to>
    <xdr:pic>
      <xdr:nvPicPr>
        <xdr:cNvPr id="86261" name="Immagine 12">
          <a:hlinkClick xmlns:r="http://schemas.openxmlformats.org/officeDocument/2006/relationships" r:id="rId5"/>
          <a:extLst>
            <a:ext uri="{FF2B5EF4-FFF2-40B4-BE49-F238E27FC236}">
              <a16:creationId xmlns:a16="http://schemas.microsoft.com/office/drawing/2014/main" id="{00000000-0008-0000-0000-0000F5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696450" y="171450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37</xdr:col>
      <xdr:colOff>171450</xdr:colOff>
      <xdr:row>22</xdr:row>
      <xdr:rowOff>85725</xdr:rowOff>
    </xdr:from>
    <xdr:to>
      <xdr:col>39</xdr:col>
      <xdr:colOff>0</xdr:colOff>
      <xdr:row>24</xdr:row>
      <xdr:rowOff>123825</xdr:rowOff>
    </xdr:to>
    <xdr:pic>
      <xdr:nvPicPr>
        <xdr:cNvPr id="86262" name="Immagine 13">
          <a:hlinkClick xmlns:r="http://schemas.openxmlformats.org/officeDocument/2006/relationships" r:id="rId6"/>
          <a:extLst>
            <a:ext uri="{FF2B5EF4-FFF2-40B4-BE49-F238E27FC236}">
              <a16:creationId xmlns:a16="http://schemas.microsoft.com/office/drawing/2014/main" id="{00000000-0008-0000-0000-0000F6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505950" y="367665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49</xdr:col>
      <xdr:colOff>28575</xdr:colOff>
      <xdr:row>10</xdr:row>
      <xdr:rowOff>57150</xdr:rowOff>
    </xdr:from>
    <xdr:to>
      <xdr:col>50</xdr:col>
      <xdr:colOff>228600</xdr:colOff>
      <xdr:row>12</xdr:row>
      <xdr:rowOff>95250</xdr:rowOff>
    </xdr:to>
    <xdr:pic>
      <xdr:nvPicPr>
        <xdr:cNvPr id="86263" name="Immagine 15">
          <a:hlinkClick xmlns:r="http://schemas.openxmlformats.org/officeDocument/2006/relationships" r:id="rId8"/>
          <a:extLst>
            <a:ext uri="{FF2B5EF4-FFF2-40B4-BE49-F238E27FC236}">
              <a16:creationId xmlns:a16="http://schemas.microsoft.com/office/drawing/2014/main" id="{00000000-0008-0000-0000-0000F7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449175" y="1704975"/>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xdr:col>
      <xdr:colOff>190500</xdr:colOff>
      <xdr:row>55</xdr:row>
      <xdr:rowOff>9525</xdr:rowOff>
    </xdr:from>
    <xdr:to>
      <xdr:col>24</xdr:col>
      <xdr:colOff>200025</xdr:colOff>
      <xdr:row>57</xdr:row>
      <xdr:rowOff>152400</xdr:rowOff>
    </xdr:to>
    <xdr:pic>
      <xdr:nvPicPr>
        <xdr:cNvPr id="86264" name="Immagine 16">
          <a:hlinkClick xmlns:r="http://schemas.openxmlformats.org/officeDocument/2006/relationships" r:id="rId9"/>
          <a:extLst>
            <a:ext uri="{FF2B5EF4-FFF2-40B4-BE49-F238E27FC236}">
              <a16:creationId xmlns:a16="http://schemas.microsoft.com/office/drawing/2014/main" id="{00000000-0008-0000-0000-0000F85001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876925" y="8953500"/>
          <a:ext cx="4762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xdr:col>
      <xdr:colOff>238125</xdr:colOff>
      <xdr:row>55</xdr:row>
      <xdr:rowOff>19050</xdr:rowOff>
    </xdr:from>
    <xdr:to>
      <xdr:col>33</xdr:col>
      <xdr:colOff>152400</xdr:colOff>
      <xdr:row>57</xdr:row>
      <xdr:rowOff>161925</xdr:rowOff>
    </xdr:to>
    <xdr:pic>
      <xdr:nvPicPr>
        <xdr:cNvPr id="86265" name="Immagine 18">
          <a:hlinkClick xmlns:r="http://schemas.openxmlformats.org/officeDocument/2006/relationships" r:id="rId10"/>
          <a:extLst>
            <a:ext uri="{FF2B5EF4-FFF2-40B4-BE49-F238E27FC236}">
              <a16:creationId xmlns:a16="http://schemas.microsoft.com/office/drawing/2014/main" id="{00000000-0008-0000-0000-0000F9500100}"/>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8115300" y="8963025"/>
          <a:ext cx="46672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180975</xdr:colOff>
      <xdr:row>26</xdr:row>
      <xdr:rowOff>66675</xdr:rowOff>
    </xdr:from>
    <xdr:to>
      <xdr:col>7</xdr:col>
      <xdr:colOff>352425</xdr:colOff>
      <xdr:row>28</xdr:row>
      <xdr:rowOff>104775</xdr:rowOff>
    </xdr:to>
    <xdr:pic>
      <xdr:nvPicPr>
        <xdr:cNvPr id="86266" name="Immagine 4">
          <a:hlinkClick xmlns:r="http://schemas.openxmlformats.org/officeDocument/2006/relationships" r:id="rId12"/>
          <a:extLst>
            <a:ext uri="{FF2B5EF4-FFF2-40B4-BE49-F238E27FC236}">
              <a16:creationId xmlns:a16="http://schemas.microsoft.com/office/drawing/2014/main" id="{00000000-0008-0000-0000-0000FA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552575" y="430530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171450</xdr:colOff>
      <xdr:row>26</xdr:row>
      <xdr:rowOff>57150</xdr:rowOff>
    </xdr:from>
    <xdr:to>
      <xdr:col>28</xdr:col>
      <xdr:colOff>0</xdr:colOff>
      <xdr:row>28</xdr:row>
      <xdr:rowOff>95250</xdr:rowOff>
    </xdr:to>
    <xdr:pic>
      <xdr:nvPicPr>
        <xdr:cNvPr id="86267" name="Immagine 9">
          <a:hlinkClick xmlns:r="http://schemas.openxmlformats.org/officeDocument/2006/relationships" r:id="rId12"/>
          <a:extLst>
            <a:ext uri="{FF2B5EF4-FFF2-40B4-BE49-F238E27FC236}">
              <a16:creationId xmlns:a16="http://schemas.microsoft.com/office/drawing/2014/main" id="{00000000-0008-0000-0000-0000FB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762750" y="4295775"/>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37</xdr:col>
      <xdr:colOff>171450</xdr:colOff>
      <xdr:row>26</xdr:row>
      <xdr:rowOff>57150</xdr:rowOff>
    </xdr:from>
    <xdr:to>
      <xdr:col>39</xdr:col>
      <xdr:colOff>0</xdr:colOff>
      <xdr:row>28</xdr:row>
      <xdr:rowOff>95250</xdr:rowOff>
    </xdr:to>
    <xdr:pic>
      <xdr:nvPicPr>
        <xdr:cNvPr id="86268" name="Immagine 13">
          <a:hlinkClick xmlns:r="http://schemas.openxmlformats.org/officeDocument/2006/relationships" r:id="rId12"/>
          <a:extLst>
            <a:ext uri="{FF2B5EF4-FFF2-40B4-BE49-F238E27FC236}">
              <a16:creationId xmlns:a16="http://schemas.microsoft.com/office/drawing/2014/main" id="{00000000-0008-0000-0000-0000FC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505950" y="4295775"/>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171450</xdr:colOff>
      <xdr:row>38</xdr:row>
      <xdr:rowOff>47625</xdr:rowOff>
    </xdr:from>
    <xdr:to>
      <xdr:col>28</xdr:col>
      <xdr:colOff>0</xdr:colOff>
      <xdr:row>40</xdr:row>
      <xdr:rowOff>85725</xdr:rowOff>
    </xdr:to>
    <xdr:pic>
      <xdr:nvPicPr>
        <xdr:cNvPr id="86269" name="Immagine 10">
          <a:hlinkClick xmlns:r="http://schemas.openxmlformats.org/officeDocument/2006/relationships" r:id="rId13"/>
          <a:extLst>
            <a:ext uri="{FF2B5EF4-FFF2-40B4-BE49-F238E27FC236}">
              <a16:creationId xmlns:a16="http://schemas.microsoft.com/office/drawing/2014/main" id="{00000000-0008-0000-0000-0000FD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762750" y="622935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38</xdr:col>
      <xdr:colOff>200025</xdr:colOff>
      <xdr:row>30</xdr:row>
      <xdr:rowOff>47625</xdr:rowOff>
    </xdr:from>
    <xdr:to>
      <xdr:col>40</xdr:col>
      <xdr:colOff>0</xdr:colOff>
      <xdr:row>32</xdr:row>
      <xdr:rowOff>85725</xdr:rowOff>
    </xdr:to>
    <xdr:pic>
      <xdr:nvPicPr>
        <xdr:cNvPr id="86270" name="Immagine 13">
          <a:hlinkClick xmlns:r="http://schemas.openxmlformats.org/officeDocument/2006/relationships" r:id="rId14"/>
          <a:extLst>
            <a:ext uri="{FF2B5EF4-FFF2-40B4-BE49-F238E27FC236}">
              <a16:creationId xmlns:a16="http://schemas.microsoft.com/office/drawing/2014/main" id="{00000000-0008-0000-0000-0000FE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753600" y="493395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38</xdr:col>
      <xdr:colOff>209550</xdr:colOff>
      <xdr:row>34</xdr:row>
      <xdr:rowOff>57150</xdr:rowOff>
    </xdr:from>
    <xdr:to>
      <xdr:col>40</xdr:col>
      <xdr:colOff>0</xdr:colOff>
      <xdr:row>36</xdr:row>
      <xdr:rowOff>95250</xdr:rowOff>
    </xdr:to>
    <xdr:pic>
      <xdr:nvPicPr>
        <xdr:cNvPr id="86271" name="Immagine 12">
          <a:hlinkClick xmlns:r="http://schemas.openxmlformats.org/officeDocument/2006/relationships" r:id="rId1"/>
          <a:extLst>
            <a:ext uri="{FF2B5EF4-FFF2-40B4-BE49-F238E27FC236}">
              <a16:creationId xmlns:a16="http://schemas.microsoft.com/office/drawing/2014/main" id="{00000000-0008-0000-0000-0000FF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763125" y="5591175"/>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123825</xdr:colOff>
      <xdr:row>10</xdr:row>
      <xdr:rowOff>76200</xdr:rowOff>
    </xdr:from>
    <xdr:to>
      <xdr:col>18</xdr:col>
      <xdr:colOff>161925</xdr:colOff>
      <xdr:row>12</xdr:row>
      <xdr:rowOff>114300</xdr:rowOff>
    </xdr:to>
    <xdr:pic>
      <xdr:nvPicPr>
        <xdr:cNvPr id="86272" name="Immagine 3">
          <a:hlinkClick xmlns:r="http://schemas.openxmlformats.org/officeDocument/2006/relationships" r:id="rId5"/>
          <a:extLst>
            <a:ext uri="{FF2B5EF4-FFF2-40B4-BE49-F238E27FC236}">
              <a16:creationId xmlns:a16="http://schemas.microsoft.com/office/drawing/2014/main" id="{00000000-0008-0000-0000-000000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05300" y="1724025"/>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180975</xdr:colOff>
      <xdr:row>22</xdr:row>
      <xdr:rowOff>85725</xdr:rowOff>
    </xdr:from>
    <xdr:to>
      <xdr:col>18</xdr:col>
      <xdr:colOff>0</xdr:colOff>
      <xdr:row>24</xdr:row>
      <xdr:rowOff>123825</xdr:rowOff>
    </xdr:to>
    <xdr:pic>
      <xdr:nvPicPr>
        <xdr:cNvPr id="86273" name="Immagine 4">
          <a:hlinkClick xmlns:r="http://schemas.openxmlformats.org/officeDocument/2006/relationships" r:id="rId6"/>
          <a:extLst>
            <a:ext uri="{FF2B5EF4-FFF2-40B4-BE49-F238E27FC236}">
              <a16:creationId xmlns:a16="http://schemas.microsoft.com/office/drawing/2014/main" id="{00000000-0008-0000-0000-000001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43375" y="367665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133350</xdr:colOff>
      <xdr:row>30</xdr:row>
      <xdr:rowOff>57150</xdr:rowOff>
    </xdr:from>
    <xdr:to>
      <xdr:col>18</xdr:col>
      <xdr:colOff>171450</xdr:colOff>
      <xdr:row>32</xdr:row>
      <xdr:rowOff>95250</xdr:rowOff>
    </xdr:to>
    <xdr:pic>
      <xdr:nvPicPr>
        <xdr:cNvPr id="86274" name="Immagine 7">
          <a:hlinkClick xmlns:r="http://schemas.openxmlformats.org/officeDocument/2006/relationships" r:id="rId1"/>
          <a:extLst>
            <a:ext uri="{FF2B5EF4-FFF2-40B4-BE49-F238E27FC236}">
              <a16:creationId xmlns:a16="http://schemas.microsoft.com/office/drawing/2014/main" id="{00000000-0008-0000-0000-000002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14825" y="4943475"/>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180975</xdr:colOff>
      <xdr:row>26</xdr:row>
      <xdr:rowOff>66675</xdr:rowOff>
    </xdr:from>
    <xdr:to>
      <xdr:col>18</xdr:col>
      <xdr:colOff>0</xdr:colOff>
      <xdr:row>28</xdr:row>
      <xdr:rowOff>104775</xdr:rowOff>
    </xdr:to>
    <xdr:pic>
      <xdr:nvPicPr>
        <xdr:cNvPr id="86275" name="Immagine 4">
          <a:hlinkClick xmlns:r="http://schemas.openxmlformats.org/officeDocument/2006/relationships" r:id="rId12"/>
          <a:extLst>
            <a:ext uri="{FF2B5EF4-FFF2-40B4-BE49-F238E27FC236}">
              <a16:creationId xmlns:a16="http://schemas.microsoft.com/office/drawing/2014/main" id="{00000000-0008-0000-0000-000003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43375" y="430530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48</xdr:col>
      <xdr:colOff>28575</xdr:colOff>
      <xdr:row>22</xdr:row>
      <xdr:rowOff>66675</xdr:rowOff>
    </xdr:from>
    <xdr:to>
      <xdr:col>49</xdr:col>
      <xdr:colOff>209550</xdr:colOff>
      <xdr:row>24</xdr:row>
      <xdr:rowOff>104775</xdr:rowOff>
    </xdr:to>
    <xdr:pic>
      <xdr:nvPicPr>
        <xdr:cNvPr id="86276" name="Immagine 9">
          <a:hlinkClick xmlns:r="http://schemas.openxmlformats.org/officeDocument/2006/relationships" r:id="rId6"/>
          <a:extLst>
            <a:ext uri="{FF2B5EF4-FFF2-40B4-BE49-F238E27FC236}">
              <a16:creationId xmlns:a16="http://schemas.microsoft.com/office/drawing/2014/main" id="{00000000-0008-0000-0000-000004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201525" y="365760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48</xdr:col>
      <xdr:colOff>66675</xdr:colOff>
      <xdr:row>26</xdr:row>
      <xdr:rowOff>66675</xdr:rowOff>
    </xdr:from>
    <xdr:to>
      <xdr:col>50</xdr:col>
      <xdr:colOff>28575</xdr:colOff>
      <xdr:row>28</xdr:row>
      <xdr:rowOff>104775</xdr:rowOff>
    </xdr:to>
    <xdr:pic>
      <xdr:nvPicPr>
        <xdr:cNvPr id="86277" name="Immagine 9">
          <a:hlinkClick xmlns:r="http://schemas.openxmlformats.org/officeDocument/2006/relationships" r:id="rId12"/>
          <a:extLst>
            <a:ext uri="{FF2B5EF4-FFF2-40B4-BE49-F238E27FC236}">
              <a16:creationId xmlns:a16="http://schemas.microsoft.com/office/drawing/2014/main" id="{00000000-0008-0000-0000-000005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239625" y="430530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48</xdr:col>
      <xdr:colOff>38100</xdr:colOff>
      <xdr:row>34</xdr:row>
      <xdr:rowOff>85725</xdr:rowOff>
    </xdr:from>
    <xdr:to>
      <xdr:col>50</xdr:col>
      <xdr:colOff>9525</xdr:colOff>
      <xdr:row>36</xdr:row>
      <xdr:rowOff>114300</xdr:rowOff>
    </xdr:to>
    <xdr:pic>
      <xdr:nvPicPr>
        <xdr:cNvPr id="86278" name="Immagine 10">
          <a:hlinkClick xmlns:r="http://schemas.openxmlformats.org/officeDocument/2006/relationships" r:id="rId7"/>
          <a:extLst>
            <a:ext uri="{FF2B5EF4-FFF2-40B4-BE49-F238E27FC236}">
              <a16:creationId xmlns:a16="http://schemas.microsoft.com/office/drawing/2014/main" id="{00000000-0008-0000-0000-000006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211050" y="5619750"/>
          <a:ext cx="43815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48</xdr:col>
      <xdr:colOff>47625</xdr:colOff>
      <xdr:row>38</xdr:row>
      <xdr:rowOff>57150</xdr:rowOff>
    </xdr:from>
    <xdr:to>
      <xdr:col>50</xdr:col>
      <xdr:colOff>19050</xdr:colOff>
      <xdr:row>40</xdr:row>
      <xdr:rowOff>85725</xdr:rowOff>
    </xdr:to>
    <xdr:pic>
      <xdr:nvPicPr>
        <xdr:cNvPr id="86279" name="Immagine 10">
          <a:hlinkClick xmlns:r="http://schemas.openxmlformats.org/officeDocument/2006/relationships" r:id="rId13"/>
          <a:extLst>
            <a:ext uri="{FF2B5EF4-FFF2-40B4-BE49-F238E27FC236}">
              <a16:creationId xmlns:a16="http://schemas.microsoft.com/office/drawing/2014/main" id="{00000000-0008-0000-0000-000007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220575" y="6238875"/>
          <a:ext cx="43815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32</xdr:col>
      <xdr:colOff>304800</xdr:colOff>
      <xdr:row>49</xdr:row>
      <xdr:rowOff>19050</xdr:rowOff>
    </xdr:from>
    <xdr:to>
      <xdr:col>34</xdr:col>
      <xdr:colOff>209550</xdr:colOff>
      <xdr:row>52</xdr:row>
      <xdr:rowOff>0</xdr:rowOff>
    </xdr:to>
    <xdr:pic>
      <xdr:nvPicPr>
        <xdr:cNvPr id="86280" name="Immagine 18">
          <a:extLst>
            <a:ext uri="{FF2B5EF4-FFF2-40B4-BE49-F238E27FC236}">
              <a16:creationId xmlns:a16="http://schemas.microsoft.com/office/drawing/2014/main" id="{00000000-0008-0000-0000-000008510100}"/>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420100" y="7981950"/>
          <a:ext cx="4667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180975</xdr:colOff>
      <xdr:row>18</xdr:row>
      <xdr:rowOff>85725</xdr:rowOff>
    </xdr:from>
    <xdr:to>
      <xdr:col>7</xdr:col>
      <xdr:colOff>352425</xdr:colOff>
      <xdr:row>20</xdr:row>
      <xdr:rowOff>123825</xdr:rowOff>
    </xdr:to>
    <xdr:pic>
      <xdr:nvPicPr>
        <xdr:cNvPr id="86281" name="Immagine 4">
          <a:hlinkClick xmlns:r="http://schemas.openxmlformats.org/officeDocument/2006/relationships" r:id="rId16"/>
          <a:extLst>
            <a:ext uri="{FF2B5EF4-FFF2-40B4-BE49-F238E27FC236}">
              <a16:creationId xmlns:a16="http://schemas.microsoft.com/office/drawing/2014/main" id="{00000000-0008-0000-0000-000009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552575" y="302895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180975</xdr:colOff>
      <xdr:row>18</xdr:row>
      <xdr:rowOff>85725</xdr:rowOff>
    </xdr:from>
    <xdr:to>
      <xdr:col>18</xdr:col>
      <xdr:colOff>0</xdr:colOff>
      <xdr:row>20</xdr:row>
      <xdr:rowOff>123825</xdr:rowOff>
    </xdr:to>
    <xdr:pic>
      <xdr:nvPicPr>
        <xdr:cNvPr id="86282" name="Immagine 4">
          <a:hlinkClick xmlns:r="http://schemas.openxmlformats.org/officeDocument/2006/relationships" r:id="rId16"/>
          <a:extLst>
            <a:ext uri="{FF2B5EF4-FFF2-40B4-BE49-F238E27FC236}">
              <a16:creationId xmlns:a16="http://schemas.microsoft.com/office/drawing/2014/main" id="{00000000-0008-0000-0000-00000A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43375" y="302895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180975</xdr:colOff>
      <xdr:row>18</xdr:row>
      <xdr:rowOff>85725</xdr:rowOff>
    </xdr:from>
    <xdr:to>
      <xdr:col>28</xdr:col>
      <xdr:colOff>0</xdr:colOff>
      <xdr:row>20</xdr:row>
      <xdr:rowOff>123825</xdr:rowOff>
    </xdr:to>
    <xdr:pic>
      <xdr:nvPicPr>
        <xdr:cNvPr id="86283" name="Immagine 4">
          <a:hlinkClick xmlns:r="http://schemas.openxmlformats.org/officeDocument/2006/relationships" r:id="rId16"/>
          <a:extLst>
            <a:ext uri="{FF2B5EF4-FFF2-40B4-BE49-F238E27FC236}">
              <a16:creationId xmlns:a16="http://schemas.microsoft.com/office/drawing/2014/main" id="{00000000-0008-0000-0000-00000B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772275" y="302895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37</xdr:col>
      <xdr:colOff>180975</xdr:colOff>
      <xdr:row>18</xdr:row>
      <xdr:rowOff>85725</xdr:rowOff>
    </xdr:from>
    <xdr:to>
      <xdr:col>39</xdr:col>
      <xdr:colOff>0</xdr:colOff>
      <xdr:row>20</xdr:row>
      <xdr:rowOff>123825</xdr:rowOff>
    </xdr:to>
    <xdr:pic>
      <xdr:nvPicPr>
        <xdr:cNvPr id="86284" name="Immagine 4">
          <a:hlinkClick xmlns:r="http://schemas.openxmlformats.org/officeDocument/2006/relationships" r:id="rId16"/>
          <a:extLst>
            <a:ext uri="{FF2B5EF4-FFF2-40B4-BE49-F238E27FC236}">
              <a16:creationId xmlns:a16="http://schemas.microsoft.com/office/drawing/2014/main" id="{00000000-0008-0000-0000-00000C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515475" y="302895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48</xdr:col>
      <xdr:colOff>28575</xdr:colOff>
      <xdr:row>18</xdr:row>
      <xdr:rowOff>66675</xdr:rowOff>
    </xdr:from>
    <xdr:to>
      <xdr:col>49</xdr:col>
      <xdr:colOff>209550</xdr:colOff>
      <xdr:row>20</xdr:row>
      <xdr:rowOff>104775</xdr:rowOff>
    </xdr:to>
    <xdr:pic>
      <xdr:nvPicPr>
        <xdr:cNvPr id="86285" name="Immagine 9">
          <a:hlinkClick xmlns:r="http://schemas.openxmlformats.org/officeDocument/2006/relationships" r:id="rId16"/>
          <a:extLst>
            <a:ext uri="{FF2B5EF4-FFF2-40B4-BE49-F238E27FC236}">
              <a16:creationId xmlns:a16="http://schemas.microsoft.com/office/drawing/2014/main" id="{00000000-0008-0000-0000-00000D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201525" y="300990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4</xdr:col>
      <xdr:colOff>323850</xdr:colOff>
      <xdr:row>2</xdr:row>
      <xdr:rowOff>57150</xdr:rowOff>
    </xdr:from>
    <xdr:to>
      <xdr:col>4</xdr:col>
      <xdr:colOff>933450</xdr:colOff>
      <xdr:row>4</xdr:row>
      <xdr:rowOff>19050</xdr:rowOff>
    </xdr:to>
    <xdr:pic>
      <xdr:nvPicPr>
        <xdr:cNvPr id="52411" name="Immagine 1">
          <a:hlinkClick xmlns:r="http://schemas.openxmlformats.org/officeDocument/2006/relationships" r:id="rId1"/>
          <a:extLst>
            <a:ext uri="{FF2B5EF4-FFF2-40B4-BE49-F238E27FC236}">
              <a16:creationId xmlns:a16="http://schemas.microsoft.com/office/drawing/2014/main" id="{00000000-0008-0000-0900-0000BBCC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14700" y="790575"/>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8</xdr:col>
      <xdr:colOff>333375</xdr:colOff>
      <xdr:row>4</xdr:row>
      <xdr:rowOff>19050</xdr:rowOff>
    </xdr:from>
    <xdr:to>
      <xdr:col>8</xdr:col>
      <xdr:colOff>333375</xdr:colOff>
      <xdr:row>8</xdr:row>
      <xdr:rowOff>28575</xdr:rowOff>
    </xdr:to>
    <xdr:pic>
      <xdr:nvPicPr>
        <xdr:cNvPr id="79229" name="Immagine 1">
          <a:extLst>
            <a:ext uri="{FF2B5EF4-FFF2-40B4-BE49-F238E27FC236}">
              <a16:creationId xmlns:a16="http://schemas.microsoft.com/office/drawing/2014/main" id="{00000000-0008-0000-0A00-00007D3501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34250" y="733425"/>
          <a:ext cx="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333375</xdr:colOff>
      <xdr:row>3</xdr:row>
      <xdr:rowOff>180975</xdr:rowOff>
    </xdr:from>
    <xdr:to>
      <xdr:col>8</xdr:col>
      <xdr:colOff>914400</xdr:colOff>
      <xdr:row>7</xdr:row>
      <xdr:rowOff>152400</xdr:rowOff>
    </xdr:to>
    <xdr:pic>
      <xdr:nvPicPr>
        <xdr:cNvPr id="79230" name="Immagine 1">
          <a:hlinkClick xmlns:r="http://schemas.openxmlformats.org/officeDocument/2006/relationships" r:id="rId2"/>
          <a:extLst>
            <a:ext uri="{FF2B5EF4-FFF2-40B4-BE49-F238E27FC236}">
              <a16:creationId xmlns:a16="http://schemas.microsoft.com/office/drawing/2014/main" id="{00000000-0008-0000-0A00-00007E3501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34250" y="704850"/>
          <a:ext cx="58102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333375</xdr:colOff>
      <xdr:row>2</xdr:row>
      <xdr:rowOff>19050</xdr:rowOff>
    </xdr:from>
    <xdr:to>
      <xdr:col>6</xdr:col>
      <xdr:colOff>333375</xdr:colOff>
      <xdr:row>6</xdr:row>
      <xdr:rowOff>9525</xdr:rowOff>
    </xdr:to>
    <xdr:pic>
      <xdr:nvPicPr>
        <xdr:cNvPr id="2407" name="Immagine 1">
          <a:extLst>
            <a:ext uri="{FF2B5EF4-FFF2-40B4-BE49-F238E27FC236}">
              <a16:creationId xmlns:a16="http://schemas.microsoft.com/office/drawing/2014/main" id="{00000000-0008-0000-0100-00006709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53400" y="371475"/>
          <a:ext cx="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314325</xdr:colOff>
      <xdr:row>1</xdr:row>
      <xdr:rowOff>47625</xdr:rowOff>
    </xdr:from>
    <xdr:to>
      <xdr:col>6</xdr:col>
      <xdr:colOff>923925</xdr:colOff>
      <xdr:row>4</xdr:row>
      <xdr:rowOff>142875</xdr:rowOff>
    </xdr:to>
    <xdr:pic>
      <xdr:nvPicPr>
        <xdr:cNvPr id="2408" name="Immagine 1">
          <a:hlinkClick xmlns:r="http://schemas.openxmlformats.org/officeDocument/2006/relationships" r:id="rId2"/>
          <a:extLst>
            <a:ext uri="{FF2B5EF4-FFF2-40B4-BE49-F238E27FC236}">
              <a16:creationId xmlns:a16="http://schemas.microsoft.com/office/drawing/2014/main" id="{00000000-0008-0000-0100-00006809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34350" y="209550"/>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14</xdr:col>
      <xdr:colOff>333375</xdr:colOff>
      <xdr:row>1</xdr:row>
      <xdr:rowOff>28575</xdr:rowOff>
    </xdr:from>
    <xdr:to>
      <xdr:col>14</xdr:col>
      <xdr:colOff>942975</xdr:colOff>
      <xdr:row>4</xdr:row>
      <xdr:rowOff>9525</xdr:rowOff>
    </xdr:to>
    <xdr:pic>
      <xdr:nvPicPr>
        <xdr:cNvPr id="25956" name="Immagine 1">
          <a:hlinkClick xmlns:r="http://schemas.openxmlformats.org/officeDocument/2006/relationships" r:id="rId1"/>
          <a:extLst>
            <a:ext uri="{FF2B5EF4-FFF2-40B4-BE49-F238E27FC236}">
              <a16:creationId xmlns:a16="http://schemas.microsoft.com/office/drawing/2014/main" id="{00000000-0008-0000-0200-00006465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753725" y="190500"/>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333375</xdr:colOff>
      <xdr:row>1</xdr:row>
      <xdr:rowOff>57150</xdr:rowOff>
    </xdr:from>
    <xdr:to>
      <xdr:col>8</xdr:col>
      <xdr:colOff>942975</xdr:colOff>
      <xdr:row>5</xdr:row>
      <xdr:rowOff>19050</xdr:rowOff>
    </xdr:to>
    <xdr:pic>
      <xdr:nvPicPr>
        <xdr:cNvPr id="68901" name="Immagine 1">
          <a:hlinkClick xmlns:r="http://schemas.openxmlformats.org/officeDocument/2006/relationships" r:id="rId1"/>
          <a:extLst>
            <a:ext uri="{FF2B5EF4-FFF2-40B4-BE49-F238E27FC236}">
              <a16:creationId xmlns:a16="http://schemas.microsoft.com/office/drawing/2014/main" id="{00000000-0008-0000-0300-0000250D01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134475" y="219075"/>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11</xdr:col>
      <xdr:colOff>57150</xdr:colOff>
      <xdr:row>4</xdr:row>
      <xdr:rowOff>85725</xdr:rowOff>
    </xdr:from>
    <xdr:to>
      <xdr:col>12</xdr:col>
      <xdr:colOff>314325</xdr:colOff>
      <xdr:row>8</xdr:row>
      <xdr:rowOff>0</xdr:rowOff>
    </xdr:to>
    <xdr:pic>
      <xdr:nvPicPr>
        <xdr:cNvPr id="83044" name="Immagine 1">
          <a:hlinkClick xmlns:r="http://schemas.openxmlformats.org/officeDocument/2006/relationships" r:id="rId1"/>
          <a:extLst>
            <a:ext uri="{FF2B5EF4-FFF2-40B4-BE49-F238E27FC236}">
              <a16:creationId xmlns:a16="http://schemas.microsoft.com/office/drawing/2014/main" id="{00000000-0008-0000-0400-0000644401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29400" y="847725"/>
          <a:ext cx="6096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15</xdr:col>
      <xdr:colOff>323850</xdr:colOff>
      <xdr:row>3</xdr:row>
      <xdr:rowOff>57150</xdr:rowOff>
    </xdr:from>
    <xdr:to>
      <xdr:col>15</xdr:col>
      <xdr:colOff>933450</xdr:colOff>
      <xdr:row>7</xdr:row>
      <xdr:rowOff>19050</xdr:rowOff>
    </xdr:to>
    <xdr:pic>
      <xdr:nvPicPr>
        <xdr:cNvPr id="45263" name="Immagine 1">
          <a:hlinkClick xmlns:r="http://schemas.openxmlformats.org/officeDocument/2006/relationships" r:id="rId1"/>
          <a:extLst>
            <a:ext uri="{FF2B5EF4-FFF2-40B4-BE49-F238E27FC236}">
              <a16:creationId xmlns:a16="http://schemas.microsoft.com/office/drawing/2014/main" id="{00000000-0008-0000-0500-0000CFB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86725" y="485775"/>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18</xdr:col>
      <xdr:colOff>323850</xdr:colOff>
      <xdr:row>2</xdr:row>
      <xdr:rowOff>66675</xdr:rowOff>
    </xdr:from>
    <xdr:to>
      <xdr:col>18</xdr:col>
      <xdr:colOff>933450</xdr:colOff>
      <xdr:row>6</xdr:row>
      <xdr:rowOff>28575</xdr:rowOff>
    </xdr:to>
    <xdr:pic>
      <xdr:nvPicPr>
        <xdr:cNvPr id="73908" name="Immagine 1">
          <a:hlinkClick xmlns:r="http://schemas.openxmlformats.org/officeDocument/2006/relationships" r:id="rId1"/>
          <a:extLst>
            <a:ext uri="{FF2B5EF4-FFF2-40B4-BE49-F238E27FC236}">
              <a16:creationId xmlns:a16="http://schemas.microsoft.com/office/drawing/2014/main" id="{00000000-0008-0000-0600-0000B42001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696575" y="390525"/>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16</xdr:col>
      <xdr:colOff>314325</xdr:colOff>
      <xdr:row>1</xdr:row>
      <xdr:rowOff>57150</xdr:rowOff>
    </xdr:from>
    <xdr:to>
      <xdr:col>16</xdr:col>
      <xdr:colOff>923925</xdr:colOff>
      <xdr:row>5</xdr:row>
      <xdr:rowOff>19050</xdr:rowOff>
    </xdr:to>
    <xdr:pic>
      <xdr:nvPicPr>
        <xdr:cNvPr id="43191" name="Immagine 1">
          <a:hlinkClick xmlns:r="http://schemas.openxmlformats.org/officeDocument/2006/relationships" r:id="rId1"/>
          <a:extLst>
            <a:ext uri="{FF2B5EF4-FFF2-40B4-BE49-F238E27FC236}">
              <a16:creationId xmlns:a16="http://schemas.microsoft.com/office/drawing/2014/main" id="{00000000-0008-0000-0700-0000B7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191500" y="247650"/>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16</xdr:col>
      <xdr:colOff>314325</xdr:colOff>
      <xdr:row>1</xdr:row>
      <xdr:rowOff>66675</xdr:rowOff>
    </xdr:from>
    <xdr:to>
      <xdr:col>16</xdr:col>
      <xdr:colOff>923925</xdr:colOff>
      <xdr:row>5</xdr:row>
      <xdr:rowOff>28575</xdr:rowOff>
    </xdr:to>
    <xdr:pic>
      <xdr:nvPicPr>
        <xdr:cNvPr id="15079" name="Immagine 1">
          <a:hlinkClick xmlns:r="http://schemas.openxmlformats.org/officeDocument/2006/relationships" r:id="rId1"/>
          <a:extLst>
            <a:ext uri="{FF2B5EF4-FFF2-40B4-BE49-F238E27FC236}">
              <a16:creationId xmlns:a16="http://schemas.microsoft.com/office/drawing/2014/main" id="{00000000-0008-0000-0800-0000E73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191500" y="257175"/>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7.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66"/>
    <pageSetUpPr fitToPage="1"/>
  </sheetPr>
  <dimension ref="A1:BJ75"/>
  <sheetViews>
    <sheetView showGridLines="0" tabSelected="1" zoomScaleNormal="100" workbookViewId="0">
      <selection activeCell="AG5" sqref="AG5"/>
    </sheetView>
  </sheetViews>
  <sheetFormatPr defaultColWidth="0" defaultRowHeight="12.75" zeroHeight="1" x14ac:dyDescent="0.2"/>
  <cols>
    <col min="1" max="1" width="3.28515625" customWidth="1"/>
    <col min="2" max="3" width="3.7109375" customWidth="1"/>
    <col min="4" max="6" width="3.28515625" customWidth="1"/>
    <col min="7" max="7" width="3.7109375" customWidth="1"/>
    <col min="8" max="8" width="5.7109375" customWidth="1"/>
    <col min="9" max="10" width="3.7109375" customWidth="1"/>
    <col min="11" max="11" width="4.7109375" customWidth="1"/>
    <col min="12" max="13" width="3.7109375" customWidth="1"/>
    <col min="14" max="17" width="3.28515625" customWidth="1"/>
    <col min="18" max="18" width="5.7109375" customWidth="1"/>
    <col min="19" max="20" width="3.7109375" customWidth="1"/>
    <col min="21" max="22" width="4.7109375" customWidth="1"/>
    <col min="23" max="23" width="3.7109375" customWidth="1"/>
    <col min="24" max="27" width="3.28515625" customWidth="1"/>
    <col min="28" max="28" width="5.7109375" customWidth="1"/>
    <col min="29" max="29" width="3.7109375" customWidth="1"/>
    <col min="30" max="30" width="4.7109375" customWidth="1"/>
    <col min="31" max="32" width="2.7109375" customWidth="1"/>
    <col min="33" max="33" width="4.7109375" customWidth="1"/>
    <col min="34" max="34" width="3.7109375" customWidth="1"/>
    <col min="35" max="38" width="3.28515625" customWidth="1"/>
    <col min="39" max="39" width="5.7109375" customWidth="1"/>
    <col min="40" max="40" width="3.7109375" customWidth="1"/>
    <col min="41" max="43" width="4.7109375" customWidth="1"/>
    <col min="44" max="46" width="3.7109375" customWidth="1"/>
    <col min="47" max="48" width="2.28515625" customWidth="1"/>
    <col min="49" max="49" width="3.7109375" customWidth="1"/>
    <col min="50" max="50" width="3.28515625" customWidth="1"/>
    <col min="51" max="51" width="4.28515625" customWidth="1"/>
    <col min="52" max="52" width="4.7109375" customWidth="1"/>
    <col min="53" max="53" width="3.28515625" customWidth="1"/>
    <col min="54" max="62" width="0" hidden="1" customWidth="1"/>
    <col min="63" max="16384" width="6.7109375" hidden="1"/>
  </cols>
  <sheetData>
    <row r="1" spans="1:52" ht="12.75" customHeight="1" x14ac:dyDescent="0.2">
      <c r="A1" t="s">
        <v>33</v>
      </c>
      <c r="B1" s="768" t="s">
        <v>336</v>
      </c>
      <c r="C1" s="768"/>
      <c r="D1" s="768"/>
      <c r="E1" s="768"/>
      <c r="F1" s="768"/>
      <c r="G1" s="768"/>
      <c r="H1" s="768"/>
      <c r="I1" s="768"/>
      <c r="J1" s="768"/>
      <c r="K1" s="768"/>
      <c r="L1" s="768"/>
      <c r="M1" s="768"/>
      <c r="N1" s="768"/>
      <c r="O1" s="768"/>
      <c r="P1" s="768"/>
      <c r="Q1" s="768"/>
      <c r="R1" s="768"/>
      <c r="S1" s="768"/>
      <c r="T1" s="768"/>
      <c r="U1" s="768"/>
    </row>
    <row r="2" spans="1:52" ht="15" customHeight="1" thickBot="1" x14ac:dyDescent="0.25">
      <c r="B2" s="768"/>
      <c r="C2" s="768"/>
      <c r="D2" s="768"/>
      <c r="E2" s="768"/>
      <c r="F2" s="768"/>
      <c r="G2" s="768"/>
      <c r="H2" s="768"/>
      <c r="I2" s="768"/>
      <c r="J2" s="768"/>
      <c r="K2" s="768"/>
      <c r="L2" s="768"/>
      <c r="M2" s="768"/>
      <c r="N2" s="768"/>
      <c r="O2" s="768"/>
      <c r="P2" s="768"/>
      <c r="Q2" s="768"/>
      <c r="R2" s="768"/>
      <c r="S2" s="768"/>
      <c r="T2" s="768"/>
      <c r="U2" s="768"/>
    </row>
    <row r="3" spans="1:52" ht="12.75" customHeight="1" x14ac:dyDescent="0.2">
      <c r="B3" s="768"/>
      <c r="C3" s="768"/>
      <c r="D3" s="768"/>
      <c r="E3" s="768"/>
      <c r="F3" s="768"/>
      <c r="G3" s="768"/>
      <c r="H3" s="768"/>
      <c r="I3" s="768"/>
      <c r="J3" s="768"/>
      <c r="K3" s="768"/>
      <c r="L3" s="768"/>
      <c r="M3" s="768"/>
      <c r="N3" s="768"/>
      <c r="O3" s="768"/>
      <c r="P3" s="768"/>
      <c r="Q3" s="768"/>
      <c r="R3" s="768"/>
      <c r="S3" s="768"/>
      <c r="T3" s="768"/>
      <c r="U3" s="768"/>
      <c r="W3" s="746" t="s">
        <v>59</v>
      </c>
      <c r="X3" s="749" t="s">
        <v>286</v>
      </c>
      <c r="Y3" s="749"/>
      <c r="Z3" s="749"/>
      <c r="AA3" s="749"/>
      <c r="AB3" s="749"/>
      <c r="AC3" s="525"/>
      <c r="AD3" s="520"/>
      <c r="AK3" s="453"/>
      <c r="AL3" s="453"/>
    </row>
    <row r="4" spans="1:52" ht="12.75" customHeight="1" x14ac:dyDescent="0.2">
      <c r="B4" s="768"/>
      <c r="C4" s="768"/>
      <c r="D4" s="768"/>
      <c r="E4" s="768"/>
      <c r="F4" s="768"/>
      <c r="G4" s="768"/>
      <c r="H4" s="768"/>
      <c r="I4" s="768"/>
      <c r="J4" s="768"/>
      <c r="K4" s="768"/>
      <c r="L4" s="768"/>
      <c r="M4" s="768"/>
      <c r="N4" s="768"/>
      <c r="O4" s="768"/>
      <c r="P4" s="768"/>
      <c r="Q4" s="768"/>
      <c r="R4" s="768"/>
      <c r="S4" s="768"/>
      <c r="T4" s="768"/>
      <c r="U4" s="768"/>
      <c r="V4" s="521"/>
      <c r="W4" s="747"/>
      <c r="X4" s="750"/>
      <c r="Y4" s="750"/>
      <c r="Z4" s="750"/>
      <c r="AA4" s="750"/>
      <c r="AB4" s="750"/>
      <c r="AC4" s="44"/>
      <c r="AD4" s="520"/>
      <c r="AK4" s="453"/>
      <c r="AL4" s="453"/>
    </row>
    <row r="5" spans="1:52" ht="12.75" customHeight="1" thickBot="1" x14ac:dyDescent="0.25">
      <c r="B5" s="768"/>
      <c r="C5" s="768"/>
      <c r="D5" s="768"/>
      <c r="E5" s="768"/>
      <c r="F5" s="768"/>
      <c r="G5" s="768"/>
      <c r="H5" s="768"/>
      <c r="I5" s="768"/>
      <c r="J5" s="768"/>
      <c r="K5" s="768"/>
      <c r="L5" s="768"/>
      <c r="M5" s="768"/>
      <c r="N5" s="768"/>
      <c r="O5" s="768"/>
      <c r="P5" s="768"/>
      <c r="Q5" s="768"/>
      <c r="R5" s="768"/>
      <c r="S5" s="768"/>
      <c r="T5" s="768"/>
      <c r="U5" s="768"/>
      <c r="V5" s="521"/>
      <c r="W5" s="748"/>
      <c r="X5" s="751"/>
      <c r="Y5" s="751"/>
      <c r="Z5" s="751"/>
      <c r="AA5" s="751"/>
      <c r="AB5" s="751"/>
      <c r="AC5" s="56"/>
      <c r="AD5" s="520"/>
      <c r="AK5" s="453"/>
      <c r="AL5" s="453"/>
    </row>
    <row r="6" spans="1:52" ht="12.75" customHeight="1" x14ac:dyDescent="0.2">
      <c r="X6" s="14"/>
      <c r="Y6" s="14"/>
      <c r="Z6" s="14"/>
      <c r="AA6" s="524"/>
      <c r="AB6" s="14"/>
      <c r="AC6" s="14"/>
      <c r="AD6" s="454"/>
      <c r="AE6" s="454"/>
      <c r="AF6" s="518"/>
      <c r="AG6" s="454"/>
      <c r="AH6" s="454"/>
      <c r="AI6" s="454"/>
    </row>
    <row r="7" spans="1:52" ht="12.75" customHeight="1" thickBot="1" x14ac:dyDescent="0.25">
      <c r="G7" s="455"/>
      <c r="H7" s="456"/>
      <c r="I7" s="456"/>
      <c r="J7" s="456"/>
      <c r="K7" s="456"/>
      <c r="L7" s="456"/>
      <c r="M7" s="456"/>
      <c r="N7" s="456"/>
      <c r="O7" s="456"/>
      <c r="P7" s="456"/>
      <c r="Q7" s="517"/>
      <c r="R7" s="456"/>
      <c r="S7" s="456"/>
      <c r="T7" s="456"/>
      <c r="U7" s="456"/>
      <c r="V7" s="456"/>
      <c r="W7" s="456"/>
      <c r="X7" s="457"/>
      <c r="Y7" s="457"/>
      <c r="Z7" s="457"/>
      <c r="AA7" s="458"/>
      <c r="AB7" s="457"/>
      <c r="AC7" s="457"/>
      <c r="AD7" s="457"/>
      <c r="AE7" s="457"/>
      <c r="AF7" s="456"/>
      <c r="AG7" s="456"/>
      <c r="AH7" s="456"/>
      <c r="AI7" s="456"/>
      <c r="AJ7" s="456"/>
      <c r="AK7" s="456"/>
      <c r="AL7" s="517"/>
      <c r="AM7" s="456"/>
      <c r="AN7" s="456"/>
      <c r="AO7" s="456"/>
      <c r="AP7" s="456"/>
      <c r="AQ7" s="456"/>
      <c r="AR7" s="456"/>
      <c r="AS7" s="456"/>
      <c r="AT7" s="456"/>
      <c r="AU7" s="456"/>
      <c r="AV7" s="519"/>
      <c r="AW7" s="529"/>
    </row>
    <row r="8" spans="1:52" ht="12.75" customHeight="1" x14ac:dyDescent="0.2">
      <c r="B8" s="760" t="s">
        <v>59</v>
      </c>
      <c r="C8" s="764" t="s">
        <v>164</v>
      </c>
      <c r="D8" s="764"/>
      <c r="E8" s="764"/>
      <c r="F8" s="764"/>
      <c r="G8" s="764"/>
      <c r="H8" s="764"/>
      <c r="I8" s="764"/>
      <c r="J8" s="765"/>
      <c r="L8" s="760" t="s">
        <v>59</v>
      </c>
      <c r="M8" s="764" t="s">
        <v>284</v>
      </c>
      <c r="N8" s="764"/>
      <c r="O8" s="764"/>
      <c r="P8" s="764"/>
      <c r="Q8" s="764"/>
      <c r="R8" s="764"/>
      <c r="S8" s="764"/>
      <c r="T8" s="765"/>
      <c r="V8" s="760" t="s">
        <v>59</v>
      </c>
      <c r="W8" s="752" t="s">
        <v>0</v>
      </c>
      <c r="X8" s="752"/>
      <c r="Y8" s="752"/>
      <c r="Z8" s="752"/>
      <c r="AA8" s="752"/>
      <c r="AB8" s="752"/>
      <c r="AC8" s="752"/>
      <c r="AD8" s="753"/>
      <c r="AG8" s="762" t="s">
        <v>59</v>
      </c>
      <c r="AH8" s="756" t="s">
        <v>109</v>
      </c>
      <c r="AI8" s="756"/>
      <c r="AJ8" s="756"/>
      <c r="AK8" s="756"/>
      <c r="AL8" s="756"/>
      <c r="AM8" s="756"/>
      <c r="AN8" s="756"/>
      <c r="AO8" s="757"/>
      <c r="AQ8" s="760" t="s">
        <v>59</v>
      </c>
      <c r="AR8" s="752" t="s">
        <v>268</v>
      </c>
      <c r="AS8" s="752"/>
      <c r="AT8" s="752"/>
      <c r="AU8" s="752"/>
      <c r="AV8" s="752"/>
      <c r="AW8" s="752"/>
      <c r="AX8" s="752"/>
      <c r="AY8" s="752"/>
      <c r="AZ8" s="753"/>
    </row>
    <row r="9" spans="1:52" ht="12.75" customHeight="1" x14ac:dyDescent="0.2">
      <c r="B9" s="761"/>
      <c r="C9" s="766"/>
      <c r="D9" s="766"/>
      <c r="E9" s="766"/>
      <c r="F9" s="766"/>
      <c r="G9" s="766"/>
      <c r="H9" s="766"/>
      <c r="I9" s="766"/>
      <c r="J9" s="767"/>
      <c r="L9" s="761"/>
      <c r="M9" s="766"/>
      <c r="N9" s="766"/>
      <c r="O9" s="766"/>
      <c r="P9" s="766"/>
      <c r="Q9" s="766"/>
      <c r="R9" s="766"/>
      <c r="S9" s="766"/>
      <c r="T9" s="767"/>
      <c r="V9" s="761"/>
      <c r="W9" s="754"/>
      <c r="X9" s="754"/>
      <c r="Y9" s="754"/>
      <c r="Z9" s="754"/>
      <c r="AA9" s="754"/>
      <c r="AB9" s="754"/>
      <c r="AC9" s="754"/>
      <c r="AD9" s="755"/>
      <c r="AG9" s="763"/>
      <c r="AH9" s="758"/>
      <c r="AI9" s="758"/>
      <c r="AJ9" s="758"/>
      <c r="AK9" s="758"/>
      <c r="AL9" s="758"/>
      <c r="AM9" s="758"/>
      <c r="AN9" s="758"/>
      <c r="AO9" s="759"/>
      <c r="AQ9" s="761"/>
      <c r="AR9" s="754"/>
      <c r="AS9" s="754"/>
      <c r="AT9" s="754"/>
      <c r="AU9" s="754"/>
      <c r="AV9" s="754"/>
      <c r="AW9" s="754"/>
      <c r="AX9" s="754"/>
      <c r="AY9" s="754"/>
      <c r="AZ9" s="755"/>
    </row>
    <row r="10" spans="1:52" ht="12.75" customHeight="1" x14ac:dyDescent="0.2">
      <c r="B10" s="459"/>
      <c r="C10" s="460"/>
      <c r="D10" s="460"/>
      <c r="E10" s="460"/>
      <c r="F10" s="460"/>
      <c r="G10" s="460"/>
      <c r="H10" s="460"/>
      <c r="I10" s="460"/>
      <c r="J10" s="461"/>
      <c r="L10" s="459"/>
      <c r="M10" s="460"/>
      <c r="N10" s="460"/>
      <c r="O10" s="460"/>
      <c r="P10" s="460"/>
      <c r="Q10" s="460"/>
      <c r="R10" s="460"/>
      <c r="S10" s="460"/>
      <c r="T10" s="461"/>
      <c r="V10" s="459"/>
      <c r="W10" s="460"/>
      <c r="X10" s="460"/>
      <c r="Y10" s="460"/>
      <c r="Z10" s="460"/>
      <c r="AA10" s="460"/>
      <c r="AB10" s="460"/>
      <c r="AC10" s="460"/>
      <c r="AD10" s="461"/>
      <c r="AG10" s="459"/>
      <c r="AH10" s="460"/>
      <c r="AI10" s="460"/>
      <c r="AJ10" s="460"/>
      <c r="AK10" s="460"/>
      <c r="AL10" s="460"/>
      <c r="AM10" s="460"/>
      <c r="AN10" s="460"/>
      <c r="AO10" s="461"/>
      <c r="AQ10" s="459"/>
      <c r="AR10" s="460"/>
      <c r="AS10" s="460"/>
      <c r="AT10" s="460"/>
      <c r="AU10" s="460"/>
      <c r="AV10" s="460"/>
      <c r="AW10" s="460"/>
      <c r="AX10" s="460"/>
      <c r="AY10" s="460"/>
      <c r="AZ10" s="461"/>
    </row>
    <row r="11" spans="1:52" ht="12.75" customHeight="1" x14ac:dyDescent="0.2">
      <c r="B11" s="462"/>
      <c r="C11" s="702" t="s">
        <v>270</v>
      </c>
      <c r="D11" s="703"/>
      <c r="E11" s="703"/>
      <c r="F11" s="703"/>
      <c r="G11" s="703"/>
      <c r="H11" s="616"/>
      <c r="I11" s="617"/>
      <c r="J11" s="463"/>
      <c r="L11" s="462"/>
      <c r="M11" s="702" t="s">
        <v>270</v>
      </c>
      <c r="N11" s="703"/>
      <c r="O11" s="703"/>
      <c r="P11" s="703"/>
      <c r="Q11" s="703"/>
      <c r="R11" s="703"/>
      <c r="S11" s="743"/>
      <c r="T11" s="463"/>
      <c r="V11" s="462"/>
      <c r="W11" s="702" t="s">
        <v>270</v>
      </c>
      <c r="X11" s="703"/>
      <c r="Y11" s="703"/>
      <c r="Z11" s="703"/>
      <c r="AA11" s="703"/>
      <c r="AB11" s="616"/>
      <c r="AC11" s="617"/>
      <c r="AD11" s="463"/>
      <c r="AG11" s="462"/>
      <c r="AH11" s="702" t="s">
        <v>270</v>
      </c>
      <c r="AI11" s="703"/>
      <c r="AJ11" s="703"/>
      <c r="AK11" s="703"/>
      <c r="AL11" s="703"/>
      <c r="AM11" s="703"/>
      <c r="AN11" s="743"/>
      <c r="AO11" s="463"/>
      <c r="AQ11" s="462"/>
      <c r="AR11" s="702" t="s">
        <v>285</v>
      </c>
      <c r="AS11" s="703"/>
      <c r="AT11" s="703"/>
      <c r="AU11" s="703"/>
      <c r="AV11" s="703"/>
      <c r="AW11" s="703"/>
      <c r="AX11" s="703"/>
      <c r="AY11" s="743"/>
      <c r="AZ11" s="463"/>
    </row>
    <row r="12" spans="1:52" ht="12.75" customHeight="1" x14ac:dyDescent="0.2">
      <c r="B12" s="462"/>
      <c r="C12" s="704"/>
      <c r="D12" s="705"/>
      <c r="E12" s="705"/>
      <c r="F12" s="705"/>
      <c r="G12" s="705"/>
      <c r="H12" s="618"/>
      <c r="I12" s="619"/>
      <c r="J12" s="463"/>
      <c r="L12" s="462"/>
      <c r="M12" s="704"/>
      <c r="N12" s="705"/>
      <c r="O12" s="705"/>
      <c r="P12" s="705"/>
      <c r="Q12" s="705"/>
      <c r="R12" s="705"/>
      <c r="S12" s="744"/>
      <c r="T12" s="463"/>
      <c r="V12" s="462"/>
      <c r="W12" s="704"/>
      <c r="X12" s="705"/>
      <c r="Y12" s="705"/>
      <c r="Z12" s="705"/>
      <c r="AA12" s="705"/>
      <c r="AB12" s="618"/>
      <c r="AC12" s="619"/>
      <c r="AD12" s="463"/>
      <c r="AG12" s="462"/>
      <c r="AH12" s="704"/>
      <c r="AI12" s="705"/>
      <c r="AJ12" s="705"/>
      <c r="AK12" s="705"/>
      <c r="AL12" s="705"/>
      <c r="AM12" s="705"/>
      <c r="AN12" s="744"/>
      <c r="AO12" s="463"/>
      <c r="AQ12" s="462"/>
      <c r="AR12" s="704"/>
      <c r="AS12" s="705"/>
      <c r="AT12" s="705"/>
      <c r="AU12" s="705"/>
      <c r="AV12" s="705"/>
      <c r="AW12" s="705"/>
      <c r="AX12" s="705"/>
      <c r="AY12" s="744"/>
      <c r="AZ12" s="463"/>
    </row>
    <row r="13" spans="1:52" ht="12.75" customHeight="1" x14ac:dyDescent="0.2">
      <c r="B13" s="462"/>
      <c r="C13" s="706"/>
      <c r="D13" s="707"/>
      <c r="E13" s="707"/>
      <c r="F13" s="707"/>
      <c r="G13" s="707"/>
      <c r="H13" s="620"/>
      <c r="I13" s="621"/>
      <c r="J13" s="463"/>
      <c r="L13" s="462"/>
      <c r="M13" s="706"/>
      <c r="N13" s="707"/>
      <c r="O13" s="707"/>
      <c r="P13" s="707"/>
      <c r="Q13" s="707"/>
      <c r="R13" s="707"/>
      <c r="S13" s="745"/>
      <c r="T13" s="463"/>
      <c r="V13" s="462"/>
      <c r="W13" s="706"/>
      <c r="X13" s="707"/>
      <c r="Y13" s="707"/>
      <c r="Z13" s="707"/>
      <c r="AA13" s="707"/>
      <c r="AB13" s="620"/>
      <c r="AC13" s="621"/>
      <c r="AD13" s="463"/>
      <c r="AG13" s="462"/>
      <c r="AH13" s="706"/>
      <c r="AI13" s="707"/>
      <c r="AJ13" s="707"/>
      <c r="AK13" s="707"/>
      <c r="AL13" s="707"/>
      <c r="AM13" s="707"/>
      <c r="AN13" s="745"/>
      <c r="AO13" s="463"/>
      <c r="AQ13" s="462"/>
      <c r="AR13" s="706"/>
      <c r="AS13" s="707"/>
      <c r="AT13" s="707"/>
      <c r="AU13" s="707"/>
      <c r="AV13" s="707"/>
      <c r="AW13" s="707"/>
      <c r="AX13" s="707"/>
      <c r="AY13" s="745"/>
      <c r="AZ13" s="463"/>
    </row>
    <row r="14" spans="1:52" ht="12.75" customHeight="1" x14ac:dyDescent="0.2">
      <c r="B14" s="462"/>
      <c r="C14" s="464"/>
      <c r="D14" s="464"/>
      <c r="E14" s="464"/>
      <c r="F14" s="464"/>
      <c r="G14" s="464"/>
      <c r="H14" s="464"/>
      <c r="I14" s="464"/>
      <c r="J14" s="463"/>
      <c r="L14" s="462"/>
      <c r="M14" s="464"/>
      <c r="N14" s="464"/>
      <c r="O14" s="464"/>
      <c r="P14" s="464"/>
      <c r="Q14" s="464"/>
      <c r="R14" s="464"/>
      <c r="S14" s="464"/>
      <c r="T14" s="463"/>
      <c r="V14" s="462"/>
      <c r="W14" s="464"/>
      <c r="X14" s="464"/>
      <c r="Y14" s="464"/>
      <c r="Z14" s="464"/>
      <c r="AA14" s="464"/>
      <c r="AB14" s="464"/>
      <c r="AC14" s="464"/>
      <c r="AD14" s="463"/>
      <c r="AG14" s="462"/>
      <c r="AH14" s="464"/>
      <c r="AI14" s="464"/>
      <c r="AJ14" s="464"/>
      <c r="AK14" s="464"/>
      <c r="AL14" s="464"/>
      <c r="AM14" s="464"/>
      <c r="AN14" s="464"/>
      <c r="AO14" s="463"/>
      <c r="AQ14" s="462"/>
      <c r="AR14" s="464"/>
      <c r="AS14" s="464"/>
      <c r="AT14" s="464"/>
      <c r="AU14" s="464"/>
      <c r="AV14" s="464"/>
      <c r="AW14" s="464"/>
      <c r="AX14" s="464"/>
      <c r="AY14" s="464"/>
      <c r="AZ14" s="463"/>
    </row>
    <row r="15" spans="1:52" ht="12.75" customHeight="1" x14ac:dyDescent="0.2">
      <c r="B15" s="462"/>
      <c r="C15" s="708" t="s">
        <v>275</v>
      </c>
      <c r="D15" s="709"/>
      <c r="E15" s="709"/>
      <c r="F15" s="709"/>
      <c r="G15" s="709"/>
      <c r="H15" s="709"/>
      <c r="I15" s="710"/>
      <c r="J15" s="463"/>
      <c r="L15" s="462"/>
      <c r="M15" s="708" t="s">
        <v>275</v>
      </c>
      <c r="N15" s="709"/>
      <c r="O15" s="709"/>
      <c r="P15" s="709"/>
      <c r="Q15" s="709"/>
      <c r="R15" s="709"/>
      <c r="S15" s="710"/>
      <c r="T15" s="463"/>
      <c r="V15" s="462"/>
      <c r="W15" s="708" t="s">
        <v>275</v>
      </c>
      <c r="X15" s="709"/>
      <c r="Y15" s="709"/>
      <c r="Z15" s="709"/>
      <c r="AA15" s="709"/>
      <c r="AB15" s="709"/>
      <c r="AC15" s="710"/>
      <c r="AD15" s="463"/>
      <c r="AG15" s="462"/>
      <c r="AH15" s="708" t="s">
        <v>275</v>
      </c>
      <c r="AI15" s="709"/>
      <c r="AJ15" s="709"/>
      <c r="AK15" s="709"/>
      <c r="AL15" s="709"/>
      <c r="AM15" s="709"/>
      <c r="AN15" s="710"/>
      <c r="AO15" s="463"/>
      <c r="AQ15" s="462"/>
      <c r="AR15" s="708" t="s">
        <v>275</v>
      </c>
      <c r="AS15" s="709"/>
      <c r="AT15" s="709"/>
      <c r="AU15" s="709"/>
      <c r="AV15" s="709"/>
      <c r="AW15" s="709"/>
      <c r="AX15" s="709"/>
      <c r="AY15" s="710"/>
      <c r="AZ15" s="463"/>
    </row>
    <row r="16" spans="1:52" ht="12.75" customHeight="1" x14ac:dyDescent="0.2">
      <c r="B16" s="462"/>
      <c r="C16" s="711"/>
      <c r="D16" s="712"/>
      <c r="E16" s="712"/>
      <c r="F16" s="712"/>
      <c r="G16" s="712"/>
      <c r="H16" s="712"/>
      <c r="I16" s="713"/>
      <c r="J16" s="463"/>
      <c r="L16" s="462"/>
      <c r="M16" s="711"/>
      <c r="N16" s="712"/>
      <c r="O16" s="712"/>
      <c r="P16" s="712"/>
      <c r="Q16" s="712"/>
      <c r="R16" s="712"/>
      <c r="S16" s="713"/>
      <c r="T16" s="463"/>
      <c r="V16" s="462"/>
      <c r="W16" s="711"/>
      <c r="X16" s="712"/>
      <c r="Y16" s="712"/>
      <c r="Z16" s="712"/>
      <c r="AA16" s="712"/>
      <c r="AB16" s="712"/>
      <c r="AC16" s="713"/>
      <c r="AD16" s="463"/>
      <c r="AG16" s="462"/>
      <c r="AH16" s="711"/>
      <c r="AI16" s="712"/>
      <c r="AJ16" s="712"/>
      <c r="AK16" s="712"/>
      <c r="AL16" s="712"/>
      <c r="AM16" s="712"/>
      <c r="AN16" s="713"/>
      <c r="AO16" s="463"/>
      <c r="AQ16" s="462"/>
      <c r="AR16" s="711"/>
      <c r="AS16" s="712"/>
      <c r="AT16" s="712"/>
      <c r="AU16" s="712"/>
      <c r="AV16" s="712"/>
      <c r="AW16" s="712"/>
      <c r="AX16" s="712"/>
      <c r="AY16" s="713"/>
      <c r="AZ16" s="463"/>
    </row>
    <row r="17" spans="2:52" ht="12.75" customHeight="1" x14ac:dyDescent="0.2">
      <c r="B17" s="462"/>
      <c r="C17" s="714"/>
      <c r="D17" s="715"/>
      <c r="E17" s="715"/>
      <c r="F17" s="715"/>
      <c r="G17" s="715"/>
      <c r="H17" s="715"/>
      <c r="I17" s="716"/>
      <c r="J17" s="463"/>
      <c r="L17" s="462"/>
      <c r="M17" s="714"/>
      <c r="N17" s="715"/>
      <c r="O17" s="715"/>
      <c r="P17" s="715"/>
      <c r="Q17" s="715"/>
      <c r="R17" s="715"/>
      <c r="S17" s="716"/>
      <c r="T17" s="463"/>
      <c r="V17" s="462"/>
      <c r="W17" s="714"/>
      <c r="X17" s="715"/>
      <c r="Y17" s="715"/>
      <c r="Z17" s="715"/>
      <c r="AA17" s="715"/>
      <c r="AB17" s="715"/>
      <c r="AC17" s="716"/>
      <c r="AD17" s="463"/>
      <c r="AG17" s="462"/>
      <c r="AH17" s="714"/>
      <c r="AI17" s="715"/>
      <c r="AJ17" s="715"/>
      <c r="AK17" s="715"/>
      <c r="AL17" s="715"/>
      <c r="AM17" s="715"/>
      <c r="AN17" s="716"/>
      <c r="AO17" s="463"/>
      <c r="AQ17" s="462"/>
      <c r="AR17" s="714"/>
      <c r="AS17" s="715"/>
      <c r="AT17" s="715"/>
      <c r="AU17" s="715"/>
      <c r="AV17" s="715"/>
      <c r="AW17" s="715"/>
      <c r="AX17" s="715"/>
      <c r="AY17" s="716"/>
      <c r="AZ17" s="463"/>
    </row>
    <row r="18" spans="2:52" ht="12.75" customHeight="1" x14ac:dyDescent="0.2">
      <c r="B18" s="462"/>
      <c r="C18" s="464"/>
      <c r="D18" s="464"/>
      <c r="E18" s="464"/>
      <c r="F18" s="464"/>
      <c r="G18" s="607"/>
      <c r="H18" s="608"/>
      <c r="I18" s="464"/>
      <c r="J18" s="463"/>
      <c r="L18" s="462"/>
      <c r="M18" s="464"/>
      <c r="N18" s="464"/>
      <c r="O18" s="464"/>
      <c r="P18" s="464"/>
      <c r="Q18" s="607"/>
      <c r="R18" s="608"/>
      <c r="S18" s="464"/>
      <c r="T18" s="463"/>
      <c r="V18" s="462"/>
      <c r="W18" s="464"/>
      <c r="X18" s="464"/>
      <c r="Y18" s="464"/>
      <c r="Z18" s="464"/>
      <c r="AA18" s="607"/>
      <c r="AB18" s="464"/>
      <c r="AC18" s="464"/>
      <c r="AD18" s="463"/>
      <c r="AG18" s="462"/>
      <c r="AH18" s="464"/>
      <c r="AI18" s="464"/>
      <c r="AJ18" s="464"/>
      <c r="AK18" s="464"/>
      <c r="AL18" s="607"/>
      <c r="AM18" s="608"/>
      <c r="AN18" s="464"/>
      <c r="AO18" s="463"/>
      <c r="AQ18" s="462"/>
      <c r="AR18" s="464"/>
      <c r="AS18" s="464"/>
      <c r="AT18" s="464"/>
      <c r="AU18" s="464"/>
      <c r="AV18" s="607"/>
      <c r="AW18" s="464"/>
      <c r="AX18" s="464"/>
      <c r="AY18" s="464"/>
      <c r="AZ18" s="463"/>
    </row>
    <row r="19" spans="2:52" ht="12.75" customHeight="1" x14ac:dyDescent="0.2">
      <c r="B19" s="462"/>
      <c r="C19" s="464"/>
      <c r="D19" s="717" t="s">
        <v>375</v>
      </c>
      <c r="E19" s="718"/>
      <c r="F19" s="718"/>
      <c r="G19" s="718"/>
      <c r="H19" s="689"/>
      <c r="I19" s="464"/>
      <c r="J19" s="463"/>
      <c r="L19" s="462"/>
      <c r="M19" s="464"/>
      <c r="N19" s="717" t="s">
        <v>375</v>
      </c>
      <c r="O19" s="718"/>
      <c r="P19" s="718"/>
      <c r="Q19" s="718"/>
      <c r="R19" s="689"/>
      <c r="S19" s="464"/>
      <c r="T19" s="463"/>
      <c r="V19" s="462"/>
      <c r="W19" s="464"/>
      <c r="X19" s="717" t="s">
        <v>375</v>
      </c>
      <c r="Y19" s="718"/>
      <c r="Z19" s="718"/>
      <c r="AA19" s="718"/>
      <c r="AB19" s="689"/>
      <c r="AC19" s="464"/>
      <c r="AD19" s="463"/>
      <c r="AG19" s="462"/>
      <c r="AH19" s="464"/>
      <c r="AI19" s="717" t="s">
        <v>375</v>
      </c>
      <c r="AJ19" s="718"/>
      <c r="AK19" s="718"/>
      <c r="AL19" s="718"/>
      <c r="AM19" s="689"/>
      <c r="AN19" s="464"/>
      <c r="AO19" s="463"/>
      <c r="AQ19" s="462"/>
      <c r="AR19" s="464"/>
      <c r="AS19" s="717" t="s">
        <v>375</v>
      </c>
      <c r="AT19" s="718"/>
      <c r="AU19" s="718"/>
      <c r="AV19" s="718"/>
      <c r="AW19" s="692"/>
      <c r="AX19" s="689"/>
      <c r="AY19" s="464"/>
      <c r="AZ19" s="463"/>
    </row>
    <row r="20" spans="2:52" ht="12.75" customHeight="1" x14ac:dyDescent="0.2">
      <c r="B20" s="462"/>
      <c r="C20" s="464"/>
      <c r="D20" s="719"/>
      <c r="E20" s="720"/>
      <c r="F20" s="720"/>
      <c r="G20" s="720"/>
      <c r="H20" s="690"/>
      <c r="I20" s="464"/>
      <c r="J20" s="463"/>
      <c r="L20" s="462"/>
      <c r="M20" s="464"/>
      <c r="N20" s="719"/>
      <c r="O20" s="720"/>
      <c r="P20" s="720"/>
      <c r="Q20" s="720"/>
      <c r="R20" s="690"/>
      <c r="S20" s="464"/>
      <c r="T20" s="463"/>
      <c r="V20" s="462"/>
      <c r="W20" s="464"/>
      <c r="X20" s="719"/>
      <c r="Y20" s="720"/>
      <c r="Z20" s="720"/>
      <c r="AA20" s="720"/>
      <c r="AB20" s="690"/>
      <c r="AC20" s="464"/>
      <c r="AD20" s="463"/>
      <c r="AG20" s="462"/>
      <c r="AH20" s="464"/>
      <c r="AI20" s="719"/>
      <c r="AJ20" s="720"/>
      <c r="AK20" s="720"/>
      <c r="AL20" s="720"/>
      <c r="AM20" s="690"/>
      <c r="AN20" s="464"/>
      <c r="AO20" s="463"/>
      <c r="AQ20" s="462"/>
      <c r="AR20" s="464"/>
      <c r="AS20" s="719"/>
      <c r="AT20" s="720"/>
      <c r="AU20" s="720"/>
      <c r="AV20" s="720"/>
      <c r="AW20" s="693"/>
      <c r="AX20" s="690"/>
      <c r="AY20" s="464"/>
      <c r="AZ20" s="463"/>
    </row>
    <row r="21" spans="2:52" ht="12.75" customHeight="1" x14ac:dyDescent="0.2">
      <c r="B21" s="462"/>
      <c r="C21" s="464"/>
      <c r="D21" s="721"/>
      <c r="E21" s="722"/>
      <c r="F21" s="722"/>
      <c r="G21" s="722"/>
      <c r="H21" s="691"/>
      <c r="I21" s="464"/>
      <c r="J21" s="463"/>
      <c r="L21" s="462"/>
      <c r="M21" s="464"/>
      <c r="N21" s="721"/>
      <c r="O21" s="722"/>
      <c r="P21" s="722"/>
      <c r="Q21" s="722"/>
      <c r="R21" s="691"/>
      <c r="S21" s="464"/>
      <c r="T21" s="463"/>
      <c r="V21" s="462"/>
      <c r="W21" s="464"/>
      <c r="X21" s="721"/>
      <c r="Y21" s="722"/>
      <c r="Z21" s="722"/>
      <c r="AA21" s="722"/>
      <c r="AB21" s="691"/>
      <c r="AC21" s="464"/>
      <c r="AD21" s="463"/>
      <c r="AG21" s="462"/>
      <c r="AH21" s="464"/>
      <c r="AI21" s="721"/>
      <c r="AJ21" s="722"/>
      <c r="AK21" s="722"/>
      <c r="AL21" s="722"/>
      <c r="AM21" s="691"/>
      <c r="AN21" s="464"/>
      <c r="AO21" s="463"/>
      <c r="AQ21" s="462"/>
      <c r="AR21" s="464"/>
      <c r="AS21" s="721"/>
      <c r="AT21" s="722"/>
      <c r="AU21" s="722"/>
      <c r="AV21" s="722"/>
      <c r="AW21" s="694"/>
      <c r="AX21" s="691"/>
      <c r="AY21" s="464"/>
      <c r="AZ21" s="463"/>
    </row>
    <row r="22" spans="2:52" ht="12.75" customHeight="1" x14ac:dyDescent="0.2">
      <c r="B22" s="462"/>
      <c r="C22" s="464"/>
      <c r="D22" s="464"/>
      <c r="E22" s="464"/>
      <c r="F22" s="464"/>
      <c r="G22" s="609"/>
      <c r="H22" s="464"/>
      <c r="I22" s="464"/>
      <c r="J22" s="463"/>
      <c r="L22" s="462"/>
      <c r="M22" s="464"/>
      <c r="N22" s="464"/>
      <c r="O22" s="464"/>
      <c r="P22" s="464"/>
      <c r="Q22" s="609"/>
      <c r="R22" s="464"/>
      <c r="S22" s="464"/>
      <c r="T22" s="463"/>
      <c r="V22" s="462"/>
      <c r="W22" s="464"/>
      <c r="X22" s="464"/>
      <c r="Y22" s="464"/>
      <c r="Z22" s="464"/>
      <c r="AA22" s="609"/>
      <c r="AB22" s="464"/>
      <c r="AC22" s="464"/>
      <c r="AD22" s="463"/>
      <c r="AG22" s="462"/>
      <c r="AH22" s="464"/>
      <c r="AI22" s="464"/>
      <c r="AJ22" s="464"/>
      <c r="AK22" s="464"/>
      <c r="AL22" s="609"/>
      <c r="AM22" s="464"/>
      <c r="AN22" s="464"/>
      <c r="AO22" s="463"/>
      <c r="AQ22" s="462"/>
      <c r="AR22" s="464"/>
      <c r="AS22" s="464"/>
      <c r="AT22" s="464"/>
      <c r="AU22" s="464"/>
      <c r="AV22" s="609"/>
      <c r="AW22" s="464"/>
      <c r="AX22" s="464"/>
      <c r="AY22" s="464"/>
      <c r="AZ22" s="463"/>
    </row>
    <row r="23" spans="2:52" ht="12.75" customHeight="1" x14ac:dyDescent="0.2">
      <c r="B23" s="462"/>
      <c r="C23" s="464"/>
      <c r="D23" s="702" t="s">
        <v>329</v>
      </c>
      <c r="E23" s="703"/>
      <c r="F23" s="703"/>
      <c r="G23" s="703"/>
      <c r="H23" s="617"/>
      <c r="I23" s="464"/>
      <c r="J23" s="463"/>
      <c r="L23" s="462"/>
      <c r="M23" s="464"/>
      <c r="N23" s="702" t="s">
        <v>329</v>
      </c>
      <c r="O23" s="703"/>
      <c r="P23" s="703"/>
      <c r="Q23" s="703"/>
      <c r="R23" s="617"/>
      <c r="S23" s="464"/>
      <c r="T23" s="463"/>
      <c r="V23" s="462"/>
      <c r="W23" s="464"/>
      <c r="X23" s="702" t="s">
        <v>329</v>
      </c>
      <c r="Y23" s="703"/>
      <c r="Z23" s="703"/>
      <c r="AA23" s="703"/>
      <c r="AB23" s="617"/>
      <c r="AC23" s="464"/>
      <c r="AD23" s="463"/>
      <c r="AG23" s="462"/>
      <c r="AH23" s="464"/>
      <c r="AI23" s="702" t="s">
        <v>329</v>
      </c>
      <c r="AJ23" s="703"/>
      <c r="AK23" s="703"/>
      <c r="AL23" s="703"/>
      <c r="AM23" s="617"/>
      <c r="AN23" s="464"/>
      <c r="AO23" s="463"/>
      <c r="AQ23" s="462"/>
      <c r="AR23" s="464"/>
      <c r="AS23" s="702" t="s">
        <v>329</v>
      </c>
      <c r="AT23" s="703"/>
      <c r="AU23" s="703"/>
      <c r="AV23" s="703"/>
      <c r="AW23" s="616"/>
      <c r="AX23" s="617"/>
      <c r="AY23" s="464"/>
      <c r="AZ23" s="463"/>
    </row>
    <row r="24" spans="2:52" ht="12.75" customHeight="1" x14ac:dyDescent="0.2">
      <c r="B24" s="462"/>
      <c r="C24" s="464"/>
      <c r="D24" s="704"/>
      <c r="E24" s="705"/>
      <c r="F24" s="705"/>
      <c r="G24" s="705"/>
      <c r="H24" s="619"/>
      <c r="I24" s="464"/>
      <c r="J24" s="463"/>
      <c r="L24" s="462"/>
      <c r="M24" s="464"/>
      <c r="N24" s="704"/>
      <c r="O24" s="705"/>
      <c r="P24" s="705"/>
      <c r="Q24" s="705"/>
      <c r="R24" s="619"/>
      <c r="S24" s="464"/>
      <c r="T24" s="463"/>
      <c r="V24" s="462"/>
      <c r="W24" s="464"/>
      <c r="X24" s="704"/>
      <c r="Y24" s="705"/>
      <c r="Z24" s="705"/>
      <c r="AA24" s="705"/>
      <c r="AB24" s="619"/>
      <c r="AC24" s="464"/>
      <c r="AD24" s="463"/>
      <c r="AG24" s="462"/>
      <c r="AH24" s="464"/>
      <c r="AI24" s="704"/>
      <c r="AJ24" s="705"/>
      <c r="AK24" s="705"/>
      <c r="AL24" s="705"/>
      <c r="AM24" s="619"/>
      <c r="AN24" s="464"/>
      <c r="AO24" s="463"/>
      <c r="AQ24" s="462"/>
      <c r="AR24" s="464"/>
      <c r="AS24" s="704"/>
      <c r="AT24" s="705"/>
      <c r="AU24" s="705"/>
      <c r="AV24" s="705"/>
      <c r="AW24" s="618"/>
      <c r="AX24" s="619"/>
      <c r="AY24" s="464"/>
      <c r="AZ24" s="463"/>
    </row>
    <row r="25" spans="2:52" ht="12.75" customHeight="1" x14ac:dyDescent="0.2">
      <c r="B25" s="462"/>
      <c r="C25" s="464"/>
      <c r="D25" s="706"/>
      <c r="E25" s="707"/>
      <c r="F25" s="707"/>
      <c r="G25" s="707"/>
      <c r="H25" s="621"/>
      <c r="I25" s="464"/>
      <c r="J25" s="463"/>
      <c r="L25" s="462"/>
      <c r="M25" s="464"/>
      <c r="N25" s="706"/>
      <c r="O25" s="707"/>
      <c r="P25" s="707"/>
      <c r="Q25" s="707"/>
      <c r="R25" s="621"/>
      <c r="S25" s="464"/>
      <c r="T25" s="463"/>
      <c r="V25" s="462"/>
      <c r="W25" s="464"/>
      <c r="X25" s="706"/>
      <c r="Y25" s="707"/>
      <c r="Z25" s="707"/>
      <c r="AA25" s="707"/>
      <c r="AB25" s="621"/>
      <c r="AC25" s="464"/>
      <c r="AD25" s="463"/>
      <c r="AG25" s="462"/>
      <c r="AH25" s="464"/>
      <c r="AI25" s="706"/>
      <c r="AJ25" s="707"/>
      <c r="AK25" s="707"/>
      <c r="AL25" s="707"/>
      <c r="AM25" s="621"/>
      <c r="AN25" s="464"/>
      <c r="AO25" s="463"/>
      <c r="AQ25" s="462"/>
      <c r="AR25" s="464"/>
      <c r="AS25" s="706"/>
      <c r="AT25" s="707"/>
      <c r="AU25" s="707"/>
      <c r="AV25" s="707"/>
      <c r="AW25" s="620"/>
      <c r="AX25" s="621"/>
      <c r="AY25" s="464"/>
      <c r="AZ25" s="463"/>
    </row>
    <row r="26" spans="2:52" ht="12.75" customHeight="1" x14ac:dyDescent="0.2">
      <c r="B26" s="462"/>
      <c r="C26" s="464"/>
      <c r="D26" s="464"/>
      <c r="E26" s="464"/>
      <c r="F26" s="464"/>
      <c r="G26" s="609"/>
      <c r="H26" s="464"/>
      <c r="I26" s="464"/>
      <c r="J26" s="463"/>
      <c r="L26" s="462"/>
      <c r="M26" s="464"/>
      <c r="N26" s="464"/>
      <c r="O26" s="464"/>
      <c r="P26" s="464"/>
      <c r="Q26" s="609"/>
      <c r="R26" s="464"/>
      <c r="S26" s="464"/>
      <c r="T26" s="463"/>
      <c r="V26" s="462"/>
      <c r="W26" s="464"/>
      <c r="X26" s="464"/>
      <c r="Y26" s="464"/>
      <c r="Z26" s="464"/>
      <c r="AA26" s="609"/>
      <c r="AB26" s="464"/>
      <c r="AC26" s="464"/>
      <c r="AD26" s="463"/>
      <c r="AG26" s="462"/>
      <c r="AH26" s="464"/>
      <c r="AI26" s="464"/>
      <c r="AJ26" s="464"/>
      <c r="AK26" s="464"/>
      <c r="AL26" s="609"/>
      <c r="AM26" s="464"/>
      <c r="AN26" s="464"/>
      <c r="AO26" s="463"/>
      <c r="AQ26" s="462"/>
      <c r="AR26" s="464"/>
      <c r="AS26" s="464"/>
      <c r="AT26" s="464"/>
      <c r="AU26" s="464"/>
      <c r="AV26" s="609"/>
      <c r="AW26" s="464"/>
      <c r="AX26" s="464"/>
      <c r="AY26" s="464"/>
      <c r="AZ26" s="463"/>
    </row>
    <row r="27" spans="2:52" ht="12.75" customHeight="1" x14ac:dyDescent="0.2">
      <c r="B27" s="462"/>
      <c r="C27" s="464"/>
      <c r="D27" s="702" t="s">
        <v>275</v>
      </c>
      <c r="E27" s="703"/>
      <c r="F27" s="703"/>
      <c r="G27" s="703"/>
      <c r="H27" s="617"/>
      <c r="I27" s="464"/>
      <c r="J27" s="463"/>
      <c r="L27" s="462"/>
      <c r="M27" s="464"/>
      <c r="N27" s="702" t="s">
        <v>275</v>
      </c>
      <c r="O27" s="703"/>
      <c r="P27" s="703"/>
      <c r="Q27" s="703"/>
      <c r="R27" s="617"/>
      <c r="S27" s="464"/>
      <c r="T27" s="463"/>
      <c r="V27" s="462"/>
      <c r="W27" s="464"/>
      <c r="X27" s="702" t="s">
        <v>275</v>
      </c>
      <c r="Y27" s="703"/>
      <c r="Z27" s="703"/>
      <c r="AA27" s="703"/>
      <c r="AB27" s="617"/>
      <c r="AC27" s="464"/>
      <c r="AD27" s="463"/>
      <c r="AG27" s="462"/>
      <c r="AH27" s="464"/>
      <c r="AI27" s="702" t="s">
        <v>275</v>
      </c>
      <c r="AJ27" s="703"/>
      <c r="AK27" s="703"/>
      <c r="AL27" s="703"/>
      <c r="AM27" s="617"/>
      <c r="AN27" s="464"/>
      <c r="AO27" s="463"/>
      <c r="AQ27" s="462"/>
      <c r="AR27" s="464"/>
      <c r="AS27" s="702" t="s">
        <v>275</v>
      </c>
      <c r="AT27" s="703"/>
      <c r="AU27" s="703"/>
      <c r="AV27" s="703"/>
      <c r="AW27" s="616"/>
      <c r="AX27" s="617"/>
      <c r="AY27" s="464"/>
      <c r="AZ27" s="463"/>
    </row>
    <row r="28" spans="2:52" ht="12.75" customHeight="1" x14ac:dyDescent="0.2">
      <c r="B28" s="462"/>
      <c r="C28" s="464"/>
      <c r="D28" s="704"/>
      <c r="E28" s="705"/>
      <c r="F28" s="705"/>
      <c r="G28" s="705"/>
      <c r="H28" s="619"/>
      <c r="I28" s="464"/>
      <c r="J28" s="463"/>
      <c r="L28" s="462"/>
      <c r="M28" s="464"/>
      <c r="N28" s="704"/>
      <c r="O28" s="705"/>
      <c r="P28" s="705"/>
      <c r="Q28" s="705"/>
      <c r="R28" s="619"/>
      <c r="S28" s="464"/>
      <c r="T28" s="463"/>
      <c r="V28" s="462"/>
      <c r="W28" s="464"/>
      <c r="X28" s="704"/>
      <c r="Y28" s="705"/>
      <c r="Z28" s="705"/>
      <c r="AA28" s="705"/>
      <c r="AB28" s="619"/>
      <c r="AC28" s="464"/>
      <c r="AD28" s="463"/>
      <c r="AG28" s="462"/>
      <c r="AH28" s="464"/>
      <c r="AI28" s="704"/>
      <c r="AJ28" s="705"/>
      <c r="AK28" s="705"/>
      <c r="AL28" s="705"/>
      <c r="AM28" s="619"/>
      <c r="AN28" s="464"/>
      <c r="AO28" s="463"/>
      <c r="AQ28" s="462"/>
      <c r="AR28" s="464"/>
      <c r="AS28" s="704"/>
      <c r="AT28" s="705"/>
      <c r="AU28" s="705"/>
      <c r="AV28" s="705"/>
      <c r="AW28" s="618"/>
      <c r="AX28" s="619"/>
      <c r="AY28" s="464"/>
      <c r="AZ28" s="463"/>
    </row>
    <row r="29" spans="2:52" ht="12.75" customHeight="1" x14ac:dyDescent="0.2">
      <c r="B29" s="462"/>
      <c r="C29" s="464"/>
      <c r="D29" s="706"/>
      <c r="E29" s="707"/>
      <c r="F29" s="707"/>
      <c r="G29" s="707"/>
      <c r="H29" s="621"/>
      <c r="I29" s="464"/>
      <c r="J29" s="463"/>
      <c r="L29" s="462"/>
      <c r="M29" s="464"/>
      <c r="N29" s="706"/>
      <c r="O29" s="707"/>
      <c r="P29" s="707"/>
      <c r="Q29" s="707"/>
      <c r="R29" s="621"/>
      <c r="S29" s="464"/>
      <c r="T29" s="463"/>
      <c r="V29" s="462"/>
      <c r="W29" s="464"/>
      <c r="X29" s="706"/>
      <c r="Y29" s="707"/>
      <c r="Z29" s="707"/>
      <c r="AA29" s="707"/>
      <c r="AB29" s="621"/>
      <c r="AC29" s="464"/>
      <c r="AD29" s="463"/>
      <c r="AG29" s="462"/>
      <c r="AH29" s="464"/>
      <c r="AI29" s="706"/>
      <c r="AJ29" s="707"/>
      <c r="AK29" s="707"/>
      <c r="AL29" s="707"/>
      <c r="AM29" s="621"/>
      <c r="AN29" s="464"/>
      <c r="AO29" s="463"/>
      <c r="AQ29" s="462"/>
      <c r="AR29" s="464"/>
      <c r="AS29" s="706"/>
      <c r="AT29" s="707"/>
      <c r="AU29" s="707"/>
      <c r="AV29" s="707"/>
      <c r="AW29" s="620"/>
      <c r="AX29" s="621"/>
      <c r="AY29" s="464"/>
      <c r="AZ29" s="463"/>
    </row>
    <row r="30" spans="2:52" ht="12.75" customHeight="1" x14ac:dyDescent="0.2">
      <c r="B30" s="462"/>
      <c r="C30" s="464"/>
      <c r="D30" s="464"/>
      <c r="E30" s="464"/>
      <c r="F30" s="464"/>
      <c r="G30" s="464"/>
      <c r="H30" s="464"/>
      <c r="I30" s="464"/>
      <c r="J30" s="463"/>
      <c r="L30" s="462"/>
      <c r="M30" s="464"/>
      <c r="N30" s="464"/>
      <c r="O30" s="464"/>
      <c r="P30" s="464"/>
      <c r="Q30" s="464"/>
      <c r="R30" s="464"/>
      <c r="S30" s="464"/>
      <c r="T30" s="463"/>
      <c r="V30" s="462"/>
      <c r="W30" s="464"/>
      <c r="X30" s="464"/>
      <c r="Y30" s="464"/>
      <c r="Z30" s="464"/>
      <c r="AA30" s="464"/>
      <c r="AB30" s="464"/>
      <c r="AC30" s="464"/>
      <c r="AD30" s="463"/>
      <c r="AG30" s="462"/>
      <c r="AH30" s="464"/>
      <c r="AI30" s="464"/>
      <c r="AJ30" s="464"/>
      <c r="AK30" s="464"/>
      <c r="AL30" s="464"/>
      <c r="AM30" s="464"/>
      <c r="AN30" s="464"/>
      <c r="AO30" s="463"/>
      <c r="AQ30" s="462"/>
      <c r="AR30" s="464"/>
      <c r="AS30" s="464"/>
      <c r="AT30" s="464"/>
      <c r="AU30" s="464"/>
      <c r="AV30" s="464"/>
      <c r="AW30" s="464"/>
      <c r="AX30" s="464"/>
      <c r="AY30" s="464"/>
      <c r="AZ30" s="463"/>
    </row>
    <row r="31" spans="2:52" ht="12.75" customHeight="1" x14ac:dyDescent="0.2">
      <c r="B31" s="462"/>
      <c r="C31" s="769" t="s">
        <v>330</v>
      </c>
      <c r="D31" s="770"/>
      <c r="E31" s="770"/>
      <c r="F31" s="770"/>
      <c r="G31" s="770"/>
      <c r="H31" s="622"/>
      <c r="I31" s="623"/>
      <c r="J31" s="463"/>
      <c r="L31" s="462"/>
      <c r="M31" s="769" t="s">
        <v>330</v>
      </c>
      <c r="N31" s="770"/>
      <c r="O31" s="770"/>
      <c r="P31" s="770"/>
      <c r="Q31" s="770"/>
      <c r="R31" s="622"/>
      <c r="S31" s="623"/>
      <c r="T31" s="463"/>
      <c r="V31" s="462"/>
      <c r="W31" s="708" t="s">
        <v>276</v>
      </c>
      <c r="X31" s="709"/>
      <c r="Y31" s="709"/>
      <c r="Z31" s="709"/>
      <c r="AA31" s="709"/>
      <c r="AB31" s="709"/>
      <c r="AC31" s="710"/>
      <c r="AD31" s="463"/>
      <c r="AG31" s="462"/>
      <c r="AH31" s="737" t="s">
        <v>333</v>
      </c>
      <c r="AI31" s="738"/>
      <c r="AJ31" s="738"/>
      <c r="AK31" s="738"/>
      <c r="AL31" s="738"/>
      <c r="AM31" s="627"/>
      <c r="AN31" s="628"/>
      <c r="AO31" s="463"/>
      <c r="AQ31" s="462"/>
      <c r="AR31" s="708" t="s">
        <v>276</v>
      </c>
      <c r="AS31" s="709"/>
      <c r="AT31" s="709"/>
      <c r="AU31" s="709"/>
      <c r="AV31" s="709"/>
      <c r="AW31" s="709"/>
      <c r="AX31" s="709"/>
      <c r="AY31" s="710"/>
      <c r="AZ31" s="463"/>
    </row>
    <row r="32" spans="2:52" ht="12.75" customHeight="1" x14ac:dyDescent="0.2">
      <c r="B32" s="462"/>
      <c r="C32" s="771"/>
      <c r="D32" s="732"/>
      <c r="E32" s="732"/>
      <c r="F32" s="732"/>
      <c r="G32" s="732"/>
      <c r="H32" s="562"/>
      <c r="I32" s="624"/>
      <c r="J32" s="463"/>
      <c r="L32" s="462"/>
      <c r="M32" s="771"/>
      <c r="N32" s="732"/>
      <c r="O32" s="732"/>
      <c r="P32" s="732"/>
      <c r="Q32" s="732"/>
      <c r="R32" s="562"/>
      <c r="S32" s="624"/>
      <c r="T32" s="463"/>
      <c r="V32" s="462"/>
      <c r="W32" s="711"/>
      <c r="X32" s="712"/>
      <c r="Y32" s="712"/>
      <c r="Z32" s="712"/>
      <c r="AA32" s="712"/>
      <c r="AB32" s="712"/>
      <c r="AC32" s="713"/>
      <c r="AD32" s="463"/>
      <c r="AG32" s="462"/>
      <c r="AH32" s="739"/>
      <c r="AI32" s="740"/>
      <c r="AJ32" s="740"/>
      <c r="AK32" s="740"/>
      <c r="AL32" s="740"/>
      <c r="AM32" s="629"/>
      <c r="AN32" s="630"/>
      <c r="AO32" s="463"/>
      <c r="AQ32" s="462"/>
      <c r="AR32" s="711"/>
      <c r="AS32" s="712"/>
      <c r="AT32" s="712"/>
      <c r="AU32" s="712"/>
      <c r="AV32" s="712"/>
      <c r="AW32" s="712"/>
      <c r="AX32" s="712"/>
      <c r="AY32" s="713"/>
      <c r="AZ32" s="463"/>
    </row>
    <row r="33" spans="1:52" ht="12.75" customHeight="1" x14ac:dyDescent="0.2">
      <c r="B33" s="462"/>
      <c r="C33" s="772"/>
      <c r="D33" s="773"/>
      <c r="E33" s="773"/>
      <c r="F33" s="773"/>
      <c r="G33" s="773"/>
      <c r="H33" s="625"/>
      <c r="I33" s="626"/>
      <c r="J33" s="463"/>
      <c r="L33" s="462"/>
      <c r="M33" s="772"/>
      <c r="N33" s="773"/>
      <c r="O33" s="773"/>
      <c r="P33" s="773"/>
      <c r="Q33" s="773"/>
      <c r="R33" s="625"/>
      <c r="S33" s="626"/>
      <c r="T33" s="463"/>
      <c r="V33" s="462"/>
      <c r="W33" s="714"/>
      <c r="X33" s="715"/>
      <c r="Y33" s="715"/>
      <c r="Z33" s="715"/>
      <c r="AA33" s="715"/>
      <c r="AB33" s="715"/>
      <c r="AC33" s="716"/>
      <c r="AD33" s="463"/>
      <c r="AG33" s="462"/>
      <c r="AH33" s="741"/>
      <c r="AI33" s="742"/>
      <c r="AJ33" s="742"/>
      <c r="AK33" s="742"/>
      <c r="AL33" s="742"/>
      <c r="AM33" s="631"/>
      <c r="AN33" s="632"/>
      <c r="AO33" s="463"/>
      <c r="AQ33" s="462"/>
      <c r="AR33" s="714"/>
      <c r="AS33" s="715"/>
      <c r="AT33" s="715"/>
      <c r="AU33" s="715"/>
      <c r="AV33" s="715"/>
      <c r="AW33" s="715"/>
      <c r="AX33" s="715"/>
      <c r="AY33" s="716"/>
      <c r="AZ33" s="463"/>
    </row>
    <row r="34" spans="1:52" ht="12.75" customHeight="1" x14ac:dyDescent="0.2">
      <c r="B34" s="462"/>
      <c r="C34" s="464"/>
      <c r="D34" s="464"/>
      <c r="E34" s="464"/>
      <c r="F34" s="464"/>
      <c r="G34" s="464"/>
      <c r="H34" s="464"/>
      <c r="I34" s="464"/>
      <c r="J34" s="463"/>
      <c r="L34" s="462"/>
      <c r="M34" s="464"/>
      <c r="N34" s="464"/>
      <c r="O34" s="464"/>
      <c r="P34" s="464"/>
      <c r="Q34" s="464"/>
      <c r="R34" s="464"/>
      <c r="S34" s="464"/>
      <c r="T34" s="463"/>
      <c r="V34" s="462"/>
      <c r="W34" s="464"/>
      <c r="X34" s="464"/>
      <c r="Y34" s="464"/>
      <c r="Z34" s="464"/>
      <c r="AA34" s="607"/>
      <c r="AB34" s="464"/>
      <c r="AC34" s="464"/>
      <c r="AD34" s="463"/>
      <c r="AG34" s="462"/>
      <c r="AH34" s="464"/>
      <c r="AI34" s="464"/>
      <c r="AJ34" s="464"/>
      <c r="AK34" s="464"/>
      <c r="AL34" s="464"/>
      <c r="AM34" s="464"/>
      <c r="AN34" s="464"/>
      <c r="AO34" s="463"/>
      <c r="AQ34" s="462"/>
      <c r="AR34" s="464"/>
      <c r="AS34" s="464"/>
      <c r="AT34" s="464"/>
      <c r="AU34" s="464"/>
      <c r="AV34" s="607"/>
      <c r="AW34" s="464"/>
      <c r="AX34" s="464"/>
      <c r="AY34" s="464"/>
      <c r="AZ34" s="463"/>
    </row>
    <row r="35" spans="1:52" ht="12.75" customHeight="1" x14ac:dyDescent="0.2">
      <c r="B35" s="462"/>
      <c r="C35" s="464"/>
      <c r="D35" s="464"/>
      <c r="E35" s="464"/>
      <c r="F35" s="464"/>
      <c r="G35" s="464"/>
      <c r="H35" s="464"/>
      <c r="I35" s="464"/>
      <c r="J35" s="463"/>
      <c r="L35" s="462"/>
      <c r="M35" s="464"/>
      <c r="N35" s="464"/>
      <c r="O35" s="464"/>
      <c r="P35" s="464"/>
      <c r="Q35" s="464"/>
      <c r="R35" s="464"/>
      <c r="S35" s="464"/>
      <c r="T35" s="463"/>
      <c r="V35" s="462"/>
      <c r="W35" s="464"/>
      <c r="X35" s="702" t="s">
        <v>331</v>
      </c>
      <c r="Y35" s="703"/>
      <c r="Z35" s="703"/>
      <c r="AA35" s="703"/>
      <c r="AB35" s="617"/>
      <c r="AC35" s="464"/>
      <c r="AD35" s="463"/>
      <c r="AG35" s="462"/>
      <c r="AH35" s="737" t="s">
        <v>330</v>
      </c>
      <c r="AI35" s="738"/>
      <c r="AJ35" s="738"/>
      <c r="AK35" s="738"/>
      <c r="AL35" s="738"/>
      <c r="AM35" s="627"/>
      <c r="AN35" s="628"/>
      <c r="AO35" s="463"/>
      <c r="AQ35" s="462"/>
      <c r="AR35" s="464"/>
      <c r="AS35" s="702" t="s">
        <v>331</v>
      </c>
      <c r="AT35" s="703"/>
      <c r="AU35" s="703"/>
      <c r="AV35" s="703"/>
      <c r="AW35" s="616"/>
      <c r="AX35" s="617"/>
      <c r="AY35" s="464"/>
      <c r="AZ35" s="463"/>
    </row>
    <row r="36" spans="1:52" ht="12.75" customHeight="1" x14ac:dyDescent="0.2">
      <c r="B36" s="462"/>
      <c r="C36" s="464"/>
      <c r="D36" s="464"/>
      <c r="E36" s="464"/>
      <c r="F36" s="464"/>
      <c r="G36" s="464"/>
      <c r="H36" s="464"/>
      <c r="I36" s="464"/>
      <c r="J36" s="463"/>
      <c r="L36" s="462"/>
      <c r="M36" s="464"/>
      <c r="N36" s="464"/>
      <c r="O36" s="464"/>
      <c r="P36" s="464"/>
      <c r="Q36" s="464"/>
      <c r="R36" s="464"/>
      <c r="S36" s="464"/>
      <c r="T36" s="463"/>
      <c r="V36" s="462"/>
      <c r="W36" s="464"/>
      <c r="X36" s="704"/>
      <c r="Y36" s="705"/>
      <c r="Z36" s="705"/>
      <c r="AA36" s="705"/>
      <c r="AB36" s="619"/>
      <c r="AC36" s="464"/>
      <c r="AD36" s="463"/>
      <c r="AG36" s="462"/>
      <c r="AH36" s="739"/>
      <c r="AI36" s="740"/>
      <c r="AJ36" s="740"/>
      <c r="AK36" s="740"/>
      <c r="AL36" s="740"/>
      <c r="AM36" s="629"/>
      <c r="AN36" s="630"/>
      <c r="AO36" s="463"/>
      <c r="AQ36" s="462"/>
      <c r="AR36" s="464"/>
      <c r="AS36" s="704"/>
      <c r="AT36" s="705"/>
      <c r="AU36" s="705"/>
      <c r="AV36" s="705"/>
      <c r="AW36" s="618"/>
      <c r="AX36" s="619"/>
      <c r="AY36" s="464"/>
      <c r="AZ36" s="463"/>
    </row>
    <row r="37" spans="1:52" ht="12.75" customHeight="1" x14ac:dyDescent="0.2">
      <c r="B37" s="462"/>
      <c r="C37" s="464"/>
      <c r="D37" s="464"/>
      <c r="E37" s="464"/>
      <c r="F37" s="464"/>
      <c r="G37" s="464"/>
      <c r="H37" s="464"/>
      <c r="I37" s="464"/>
      <c r="J37" s="463"/>
      <c r="L37" s="462"/>
      <c r="M37" s="464"/>
      <c r="N37" s="464"/>
      <c r="O37" s="464"/>
      <c r="P37" s="464"/>
      <c r="Q37" s="464"/>
      <c r="R37" s="464"/>
      <c r="S37" s="464"/>
      <c r="T37" s="463"/>
      <c r="V37" s="462"/>
      <c r="W37" s="464"/>
      <c r="X37" s="706"/>
      <c r="Y37" s="707"/>
      <c r="Z37" s="707"/>
      <c r="AA37" s="707"/>
      <c r="AB37" s="621"/>
      <c r="AC37" s="464"/>
      <c r="AD37" s="463"/>
      <c r="AG37" s="462"/>
      <c r="AH37" s="741"/>
      <c r="AI37" s="742"/>
      <c r="AJ37" s="742"/>
      <c r="AK37" s="742"/>
      <c r="AL37" s="742"/>
      <c r="AM37" s="631"/>
      <c r="AN37" s="632"/>
      <c r="AO37" s="463"/>
      <c r="AQ37" s="462"/>
      <c r="AR37" s="464"/>
      <c r="AS37" s="706"/>
      <c r="AT37" s="707"/>
      <c r="AU37" s="707"/>
      <c r="AV37" s="707"/>
      <c r="AW37" s="620"/>
      <c r="AX37" s="621"/>
      <c r="AY37" s="464"/>
      <c r="AZ37" s="463"/>
    </row>
    <row r="38" spans="1:52" ht="12.75" customHeight="1" x14ac:dyDescent="0.2">
      <c r="B38" s="462"/>
      <c r="C38" s="464"/>
      <c r="D38" s="464"/>
      <c r="E38" s="464"/>
      <c r="F38" s="464"/>
      <c r="G38" s="464"/>
      <c r="H38" s="464"/>
      <c r="I38" s="464"/>
      <c r="J38" s="463"/>
      <c r="L38" s="462"/>
      <c r="M38" s="464"/>
      <c r="N38" s="464"/>
      <c r="O38" s="464"/>
      <c r="P38" s="464"/>
      <c r="Q38" s="464"/>
      <c r="R38" s="464"/>
      <c r="S38" s="464"/>
      <c r="T38" s="463"/>
      <c r="V38" s="462"/>
      <c r="W38" s="464"/>
      <c r="X38" s="464"/>
      <c r="Y38" s="464"/>
      <c r="Z38" s="464"/>
      <c r="AA38" s="609"/>
      <c r="AB38" s="464"/>
      <c r="AC38" s="464"/>
      <c r="AD38" s="463"/>
      <c r="AG38" s="462"/>
      <c r="AH38" s="464"/>
      <c r="AI38" s="464"/>
      <c r="AJ38" s="464"/>
      <c r="AK38" s="464"/>
      <c r="AL38" s="464"/>
      <c r="AM38" s="464"/>
      <c r="AN38" s="464"/>
      <c r="AO38" s="463"/>
      <c r="AQ38" s="462"/>
      <c r="AR38" s="464"/>
      <c r="AS38" s="464"/>
      <c r="AT38" s="464"/>
      <c r="AU38" s="464"/>
      <c r="AV38" s="609"/>
      <c r="AW38" s="464"/>
      <c r="AX38" s="464"/>
      <c r="AY38" s="464"/>
      <c r="AZ38" s="463"/>
    </row>
    <row r="39" spans="1:52" ht="12.75" customHeight="1" x14ac:dyDescent="0.2">
      <c r="B39" s="462"/>
      <c r="C39" s="464"/>
      <c r="D39" s="464"/>
      <c r="E39" s="464"/>
      <c r="F39" s="464"/>
      <c r="G39" s="464"/>
      <c r="H39" s="464"/>
      <c r="I39" s="464"/>
      <c r="J39" s="463"/>
      <c r="L39" s="462"/>
      <c r="M39" s="464"/>
      <c r="N39" s="464"/>
      <c r="O39" s="464"/>
      <c r="P39" s="464"/>
      <c r="Q39" s="464"/>
      <c r="R39" s="464"/>
      <c r="S39" s="464"/>
      <c r="T39" s="463"/>
      <c r="V39" s="462"/>
      <c r="W39" s="464"/>
      <c r="X39" s="702" t="s">
        <v>332</v>
      </c>
      <c r="Y39" s="703"/>
      <c r="Z39" s="703"/>
      <c r="AA39" s="703"/>
      <c r="AB39" s="617"/>
      <c r="AC39" s="464"/>
      <c r="AD39" s="463"/>
      <c r="AG39" s="462"/>
      <c r="AH39" s="464"/>
      <c r="AI39" s="464"/>
      <c r="AJ39" s="464"/>
      <c r="AK39" s="464"/>
      <c r="AL39" s="464"/>
      <c r="AM39" s="464"/>
      <c r="AN39" s="464"/>
      <c r="AO39" s="463"/>
      <c r="AQ39" s="462"/>
      <c r="AR39" s="464"/>
      <c r="AS39" s="702" t="s">
        <v>332</v>
      </c>
      <c r="AT39" s="703"/>
      <c r="AU39" s="703"/>
      <c r="AV39" s="703"/>
      <c r="AW39" s="616"/>
      <c r="AX39" s="617"/>
      <c r="AY39" s="464"/>
      <c r="AZ39" s="463"/>
    </row>
    <row r="40" spans="1:52" ht="12.75" customHeight="1" x14ac:dyDescent="0.2">
      <c r="B40" s="462"/>
      <c r="C40" s="464"/>
      <c r="D40" s="464"/>
      <c r="E40" s="464"/>
      <c r="F40" s="464"/>
      <c r="G40" s="464"/>
      <c r="H40" s="464"/>
      <c r="I40" s="464"/>
      <c r="J40" s="463"/>
      <c r="L40" s="462"/>
      <c r="M40" s="464"/>
      <c r="N40" s="464"/>
      <c r="O40" s="464"/>
      <c r="P40" s="464"/>
      <c r="Q40" s="464"/>
      <c r="R40" s="464"/>
      <c r="S40" s="464"/>
      <c r="T40" s="463"/>
      <c r="V40" s="462"/>
      <c r="W40" s="464"/>
      <c r="X40" s="704"/>
      <c r="Y40" s="705"/>
      <c r="Z40" s="705"/>
      <c r="AA40" s="705"/>
      <c r="AB40" s="619"/>
      <c r="AC40" s="464"/>
      <c r="AD40" s="463"/>
      <c r="AG40" s="462"/>
      <c r="AH40" s="464"/>
      <c r="AI40" s="464"/>
      <c r="AJ40" s="464"/>
      <c r="AK40" s="464"/>
      <c r="AL40" s="464"/>
      <c r="AM40" s="464"/>
      <c r="AN40" s="464"/>
      <c r="AO40" s="463"/>
      <c r="AQ40" s="462"/>
      <c r="AR40" s="464"/>
      <c r="AS40" s="704"/>
      <c r="AT40" s="705"/>
      <c r="AU40" s="705"/>
      <c r="AV40" s="705"/>
      <c r="AW40" s="618"/>
      <c r="AX40" s="619"/>
      <c r="AY40" s="464"/>
      <c r="AZ40" s="463"/>
    </row>
    <row r="41" spans="1:52" ht="12.75" customHeight="1" x14ac:dyDescent="0.2">
      <c r="B41" s="462"/>
      <c r="C41" s="464"/>
      <c r="D41" s="464"/>
      <c r="E41" s="464"/>
      <c r="F41" s="464"/>
      <c r="G41" s="464"/>
      <c r="H41" s="464"/>
      <c r="I41" s="464"/>
      <c r="J41" s="463"/>
      <c r="L41" s="462"/>
      <c r="M41" s="464"/>
      <c r="N41" s="464"/>
      <c r="O41" s="464"/>
      <c r="P41" s="464"/>
      <c r="Q41" s="464"/>
      <c r="R41" s="464"/>
      <c r="S41" s="464"/>
      <c r="T41" s="463"/>
      <c r="V41" s="462"/>
      <c r="W41" s="464"/>
      <c r="X41" s="706"/>
      <c r="Y41" s="707"/>
      <c r="Z41" s="707"/>
      <c r="AA41" s="707"/>
      <c r="AB41" s="621"/>
      <c r="AC41" s="464"/>
      <c r="AD41" s="463"/>
      <c r="AG41" s="462"/>
      <c r="AH41" s="464"/>
      <c r="AI41" s="464"/>
      <c r="AJ41" s="464"/>
      <c r="AK41" s="464"/>
      <c r="AL41" s="464"/>
      <c r="AM41" s="464"/>
      <c r="AN41" s="464"/>
      <c r="AO41" s="463"/>
      <c r="AQ41" s="462"/>
      <c r="AR41" s="464"/>
      <c r="AS41" s="706"/>
      <c r="AT41" s="707"/>
      <c r="AU41" s="707"/>
      <c r="AV41" s="707"/>
      <c r="AW41" s="620"/>
      <c r="AX41" s="621"/>
      <c r="AY41" s="464"/>
      <c r="AZ41" s="463"/>
    </row>
    <row r="42" spans="1:52" ht="12.75" customHeight="1" x14ac:dyDescent="0.2">
      <c r="B42" s="462"/>
      <c r="C42" s="464"/>
      <c r="D42" s="464"/>
      <c r="E42" s="464"/>
      <c r="F42" s="464"/>
      <c r="G42" s="464"/>
      <c r="H42" s="464"/>
      <c r="I42" s="464"/>
      <c r="J42" s="463"/>
      <c r="L42" s="462"/>
      <c r="M42" s="464"/>
      <c r="N42" s="464"/>
      <c r="O42" s="464"/>
      <c r="P42" s="464"/>
      <c r="Q42" s="464"/>
      <c r="R42" s="464"/>
      <c r="S42" s="464"/>
      <c r="T42" s="463"/>
      <c r="V42" s="462"/>
      <c r="W42" s="464"/>
      <c r="X42" s="464"/>
      <c r="Y42" s="464"/>
      <c r="Z42" s="464"/>
      <c r="AA42" s="464"/>
      <c r="AB42" s="464"/>
      <c r="AC42" s="464"/>
      <c r="AD42" s="463"/>
      <c r="AG42" s="462"/>
      <c r="AH42" s="464"/>
      <c r="AI42" s="464"/>
      <c r="AJ42" s="464"/>
      <c r="AK42" s="464"/>
      <c r="AL42" s="464"/>
      <c r="AM42" s="464"/>
      <c r="AN42" s="464"/>
      <c r="AO42" s="463"/>
      <c r="AQ42" s="462"/>
      <c r="AR42" s="464"/>
      <c r="AS42" s="464"/>
      <c r="AT42" s="464"/>
      <c r="AU42" s="464"/>
      <c r="AV42" s="464"/>
      <c r="AW42" s="464"/>
      <c r="AX42" s="464"/>
      <c r="AY42" s="464"/>
      <c r="AZ42" s="463"/>
    </row>
    <row r="43" spans="1:52" ht="12.75" customHeight="1" x14ac:dyDescent="0.2">
      <c r="B43" s="462"/>
      <c r="C43" s="464"/>
      <c r="D43" s="464"/>
      <c r="E43" s="464"/>
      <c r="F43" s="464"/>
      <c r="G43" s="464"/>
      <c r="H43" s="464"/>
      <c r="I43" s="464"/>
      <c r="J43" s="463"/>
      <c r="L43" s="462"/>
      <c r="M43" s="464"/>
      <c r="N43" s="464"/>
      <c r="O43" s="464"/>
      <c r="P43" s="464"/>
      <c r="Q43" s="464"/>
      <c r="R43" s="464"/>
      <c r="S43" s="464"/>
      <c r="T43" s="463"/>
      <c r="V43" s="462"/>
      <c r="W43" s="464"/>
      <c r="X43" s="464"/>
      <c r="Y43" s="464"/>
      <c r="Z43" s="464"/>
      <c r="AA43" s="464"/>
      <c r="AB43" s="464"/>
      <c r="AC43" s="464"/>
      <c r="AD43" s="463"/>
      <c r="AG43" s="462"/>
      <c r="AH43" s="464"/>
      <c r="AI43" s="464"/>
      <c r="AJ43" s="464"/>
      <c r="AK43" s="464"/>
      <c r="AL43" s="464"/>
      <c r="AM43" s="464"/>
      <c r="AN43" s="464"/>
      <c r="AO43" s="463"/>
      <c r="AQ43" s="462"/>
      <c r="AR43" s="702" t="s">
        <v>330</v>
      </c>
      <c r="AS43" s="703"/>
      <c r="AT43" s="703"/>
      <c r="AU43" s="703"/>
      <c r="AV43" s="703"/>
      <c r="AW43" s="703"/>
      <c r="AX43" s="616"/>
      <c r="AY43" s="617"/>
      <c r="AZ43" s="463"/>
    </row>
    <row r="44" spans="1:52" ht="12.75" customHeight="1" x14ac:dyDescent="0.2">
      <c r="B44" s="462"/>
      <c r="C44" s="464"/>
      <c r="D44" s="464"/>
      <c r="E44" s="464"/>
      <c r="F44" s="464"/>
      <c r="G44" s="464"/>
      <c r="H44" s="464"/>
      <c r="I44" s="464"/>
      <c r="J44" s="463"/>
      <c r="L44" s="462"/>
      <c r="M44" s="464"/>
      <c r="N44" s="464"/>
      <c r="O44" s="464"/>
      <c r="P44" s="464"/>
      <c r="Q44" s="464"/>
      <c r="R44" s="464"/>
      <c r="S44" s="464"/>
      <c r="T44" s="463"/>
      <c r="V44" s="462"/>
      <c r="W44" s="464"/>
      <c r="X44" s="464"/>
      <c r="Y44" s="464"/>
      <c r="Z44" s="464"/>
      <c r="AA44" s="464"/>
      <c r="AB44" s="464"/>
      <c r="AC44" s="464"/>
      <c r="AD44" s="463"/>
      <c r="AG44" s="462"/>
      <c r="AH44" s="464"/>
      <c r="AI44" s="464"/>
      <c r="AJ44" s="464"/>
      <c r="AK44" s="464"/>
      <c r="AL44" s="464"/>
      <c r="AM44" s="464"/>
      <c r="AN44" s="464"/>
      <c r="AO44" s="463"/>
      <c r="AQ44" s="462"/>
      <c r="AR44" s="704"/>
      <c r="AS44" s="705"/>
      <c r="AT44" s="705"/>
      <c r="AU44" s="705"/>
      <c r="AV44" s="705"/>
      <c r="AW44" s="705"/>
      <c r="AX44" s="618"/>
      <c r="AY44" s="619"/>
      <c r="AZ44" s="463"/>
    </row>
    <row r="45" spans="1:52" ht="12.75" customHeight="1" x14ac:dyDescent="0.2">
      <c r="B45" s="462"/>
      <c r="C45" s="464"/>
      <c r="D45" s="464"/>
      <c r="E45" s="464"/>
      <c r="F45" s="464"/>
      <c r="G45" s="464"/>
      <c r="H45" s="464"/>
      <c r="I45" s="464"/>
      <c r="J45" s="463"/>
      <c r="L45" s="462"/>
      <c r="M45" s="464"/>
      <c r="N45" s="464"/>
      <c r="O45" s="464"/>
      <c r="P45" s="464"/>
      <c r="Q45" s="464"/>
      <c r="R45" s="464"/>
      <c r="S45" s="464"/>
      <c r="T45" s="463"/>
      <c r="V45" s="462"/>
      <c r="W45" s="464"/>
      <c r="X45" s="464"/>
      <c r="Y45" s="464"/>
      <c r="Z45" s="464"/>
      <c r="AA45" s="464"/>
      <c r="AB45" s="464"/>
      <c r="AC45" s="464"/>
      <c r="AD45" s="463"/>
      <c r="AG45" s="462"/>
      <c r="AH45" s="464"/>
      <c r="AI45" s="464"/>
      <c r="AJ45" s="464"/>
      <c r="AK45" s="464"/>
      <c r="AL45" s="464"/>
      <c r="AM45" s="464"/>
      <c r="AN45" s="464"/>
      <c r="AO45" s="463"/>
      <c r="AQ45" s="462"/>
      <c r="AR45" s="706"/>
      <c r="AS45" s="707"/>
      <c r="AT45" s="707"/>
      <c r="AU45" s="707"/>
      <c r="AV45" s="707"/>
      <c r="AW45" s="707"/>
      <c r="AX45" s="620"/>
      <c r="AY45" s="621"/>
      <c r="AZ45" s="463"/>
    </row>
    <row r="46" spans="1:52" ht="12.75" customHeight="1" thickBot="1" x14ac:dyDescent="0.25">
      <c r="B46" s="558"/>
      <c r="C46" s="559"/>
      <c r="D46" s="559"/>
      <c r="E46" s="559"/>
      <c r="F46" s="559"/>
      <c r="G46" s="559"/>
      <c r="H46" s="559"/>
      <c r="I46" s="559"/>
      <c r="J46" s="560"/>
      <c r="L46" s="558"/>
      <c r="M46" s="559"/>
      <c r="N46" s="559"/>
      <c r="O46" s="559"/>
      <c r="P46" s="559"/>
      <c r="Q46" s="559"/>
      <c r="R46" s="559"/>
      <c r="S46" s="559"/>
      <c r="T46" s="560"/>
      <c r="V46" s="558"/>
      <c r="W46" s="559"/>
      <c r="X46" s="559"/>
      <c r="Y46" s="559"/>
      <c r="Z46" s="559"/>
      <c r="AA46" s="559"/>
      <c r="AB46" s="559"/>
      <c r="AC46" s="559"/>
      <c r="AD46" s="560"/>
      <c r="AG46" s="558"/>
      <c r="AH46" s="559"/>
      <c r="AI46" s="559"/>
      <c r="AJ46" s="559"/>
      <c r="AK46" s="559"/>
      <c r="AL46" s="559"/>
      <c r="AM46" s="559"/>
      <c r="AN46" s="559"/>
      <c r="AO46" s="560"/>
      <c r="AQ46" s="558"/>
      <c r="AR46" s="559"/>
      <c r="AS46" s="559"/>
      <c r="AT46" s="559"/>
      <c r="AU46" s="559"/>
      <c r="AV46" s="559"/>
      <c r="AW46" s="559"/>
      <c r="AX46" s="559"/>
      <c r="AY46" s="559"/>
      <c r="AZ46" s="560"/>
    </row>
    <row r="47" spans="1:52" ht="12.75" customHeight="1" x14ac:dyDescent="0.2">
      <c r="G47" s="561"/>
      <c r="Q47" s="561"/>
      <c r="AA47" s="561"/>
      <c r="AL47" s="561"/>
      <c r="AW47" s="561"/>
    </row>
    <row r="48" spans="1:52" ht="12.75" customHeight="1" x14ac:dyDescent="0.2">
      <c r="A48" s="286"/>
      <c r="B48" s="286"/>
      <c r="C48" s="286"/>
      <c r="D48" s="286"/>
      <c r="E48" s="286"/>
      <c r="F48" s="286"/>
      <c r="G48" s="638"/>
      <c r="H48" s="638"/>
      <c r="I48" s="638"/>
      <c r="J48" s="638"/>
      <c r="K48" s="638"/>
      <c r="L48" s="638"/>
      <c r="M48" s="456"/>
      <c r="N48" s="456"/>
      <c r="O48" s="456"/>
      <c r="P48" s="456"/>
      <c r="Q48" s="456"/>
      <c r="R48" s="456"/>
      <c r="S48" s="456"/>
      <c r="T48" s="456"/>
      <c r="U48" s="456"/>
      <c r="V48" s="456"/>
      <c r="W48" s="456"/>
      <c r="X48" s="456"/>
      <c r="Y48" s="456"/>
      <c r="Z48" s="456"/>
      <c r="AA48" s="455"/>
      <c r="AB48" s="728" t="s">
        <v>323</v>
      </c>
      <c r="AC48" s="728"/>
      <c r="AD48" s="728"/>
      <c r="AE48" s="728"/>
      <c r="AF48" s="728"/>
      <c r="AG48" s="728"/>
      <c r="AH48" s="456"/>
      <c r="AI48" s="456"/>
      <c r="AJ48" s="456"/>
      <c r="AK48" s="456"/>
      <c r="AL48" s="456"/>
      <c r="AM48" s="456"/>
      <c r="AN48" s="456"/>
      <c r="AO48" s="456"/>
      <c r="AP48" s="456"/>
      <c r="AQ48" s="456"/>
      <c r="AR48" s="456"/>
      <c r="AS48" s="456"/>
      <c r="AT48" s="456"/>
      <c r="AU48" s="456"/>
      <c r="AV48" s="456"/>
    </row>
    <row r="49" spans="1:35" ht="12.75" customHeight="1" thickBot="1" x14ac:dyDescent="0.25">
      <c r="A49" s="286"/>
      <c r="B49" s="667"/>
      <c r="C49" s="775" t="b">
        <f>IF(AND(selezione_passo_descrizione_intervento="x",ImportoOneriUrb1&gt;0),TRUE,FALSE)</f>
        <v>0</v>
      </c>
      <c r="D49" s="775"/>
      <c r="E49" s="775"/>
      <c r="F49" s="775" t="b">
        <f>VLOOKUP(TRUE,$C$49:$E$54,1)</f>
        <v>0</v>
      </c>
      <c r="G49" s="775"/>
      <c r="H49" s="667"/>
      <c r="I49" s="774"/>
      <c r="J49" s="774"/>
      <c r="K49" s="667"/>
      <c r="L49" s="667"/>
      <c r="M49" s="667"/>
      <c r="N49" s="667"/>
      <c r="O49" s="667"/>
      <c r="P49" s="667"/>
      <c r="Q49" s="667"/>
      <c r="R49" s="667"/>
      <c r="AA49" s="455"/>
      <c r="AB49" s="456"/>
      <c r="AC49" s="456"/>
      <c r="AD49" s="456"/>
      <c r="AE49" s="456"/>
      <c r="AF49" s="465"/>
    </row>
    <row r="50" spans="1:35" ht="12.75" customHeight="1" x14ac:dyDescent="0.2">
      <c r="A50" s="286"/>
      <c r="B50" s="667"/>
      <c r="C50" s="775" t="b">
        <f>IF(AND(selezione_passo_descrizione_intervento="x",ImportoOneriUrb2&gt;0),TRUE,FALSE)</f>
        <v>0</v>
      </c>
      <c r="D50" s="775"/>
      <c r="E50" s="775"/>
      <c r="F50" s="775"/>
      <c r="G50" s="775"/>
      <c r="H50" s="667"/>
      <c r="I50" s="667"/>
      <c r="J50" s="667"/>
      <c r="K50" s="667"/>
      <c r="L50" s="667"/>
      <c r="M50" s="667"/>
      <c r="N50" s="667"/>
      <c r="O50" s="667"/>
      <c r="P50" s="667"/>
      <c r="Q50" s="667"/>
      <c r="R50" s="667"/>
      <c r="AA50" s="79"/>
      <c r="AC50" s="729" t="s">
        <v>322</v>
      </c>
      <c r="AD50" s="730"/>
      <c r="AE50" s="730"/>
      <c r="AF50" s="730"/>
      <c r="AG50" s="730"/>
      <c r="AH50" s="599"/>
      <c r="AI50" s="600"/>
    </row>
    <row r="51" spans="1:35" ht="12.75" customHeight="1" x14ac:dyDescent="0.2">
      <c r="A51" s="286"/>
      <c r="B51" s="667"/>
      <c r="C51" s="775" t="b">
        <f>IF(AND(selezione_passo_descrizione_intervento="x",ImportoOneriUrb1_NuovaDest&lt;&gt;0),TRUE,FALSE)</f>
        <v>0</v>
      </c>
      <c r="D51" s="775"/>
      <c r="E51" s="775"/>
      <c r="F51" s="614"/>
      <c r="G51" s="614"/>
      <c r="H51" s="667"/>
      <c r="I51" s="667"/>
      <c r="J51" s="667"/>
      <c r="K51" s="667"/>
      <c r="L51" s="667"/>
      <c r="M51" s="667"/>
      <c r="N51" s="667"/>
      <c r="O51" s="667"/>
      <c r="P51" s="667"/>
      <c r="Q51" s="667"/>
      <c r="R51" s="667"/>
      <c r="U51" s="735" t="s">
        <v>324</v>
      </c>
      <c r="V51" s="735"/>
      <c r="W51" s="735"/>
      <c r="X51" s="735"/>
      <c r="Y51" s="735"/>
      <c r="Z51" s="736"/>
      <c r="AA51" s="79"/>
      <c r="AC51" s="731"/>
      <c r="AD51" s="732"/>
      <c r="AE51" s="732"/>
      <c r="AF51" s="732"/>
      <c r="AG51" s="732"/>
      <c r="AH51" s="562"/>
      <c r="AI51" s="601"/>
    </row>
    <row r="52" spans="1:35" ht="12.75" customHeight="1" thickBot="1" x14ac:dyDescent="0.25">
      <c r="A52" s="286"/>
      <c r="B52" s="667"/>
      <c r="C52" s="775" t="b">
        <f>IF(AND(selezione_passo_descrizione_intervento="x",ImportoOneriUrb2_NuovaDest&lt;&gt;0),TRUE,FALSE)</f>
        <v>0</v>
      </c>
      <c r="D52" s="775"/>
      <c r="E52" s="775"/>
      <c r="F52" s="614"/>
      <c r="G52" s="614"/>
      <c r="H52" s="667"/>
      <c r="I52" s="667"/>
      <c r="J52" s="667"/>
      <c r="K52" s="667"/>
      <c r="L52" s="667"/>
      <c r="M52" s="667"/>
      <c r="N52" s="667"/>
      <c r="O52" s="667"/>
      <c r="P52" s="667"/>
      <c r="Q52" s="667"/>
      <c r="R52" s="667"/>
      <c r="AA52" s="79"/>
      <c r="AC52" s="733"/>
      <c r="AD52" s="734"/>
      <c r="AE52" s="734"/>
      <c r="AF52" s="734"/>
      <c r="AG52" s="734"/>
      <c r="AH52" s="602"/>
      <c r="AI52" s="603"/>
    </row>
    <row r="53" spans="1:35" ht="12.75" customHeight="1" x14ac:dyDescent="0.2">
      <c r="A53" s="286"/>
      <c r="B53" s="667"/>
      <c r="C53" s="775" t="b">
        <f>IF(AND(selezione_passo_descrizione_intervento="x",ImportoOneriSmaltimentoRif&lt;&gt;0),TRUE,FALSE)</f>
        <v>0</v>
      </c>
      <c r="D53" s="775"/>
      <c r="E53" s="775"/>
      <c r="F53" s="614"/>
      <c r="G53" s="614"/>
      <c r="H53" s="667"/>
      <c r="I53" s="667"/>
      <c r="J53" s="667"/>
      <c r="K53" s="667"/>
      <c r="L53" s="667"/>
      <c r="M53" s="667"/>
      <c r="N53" s="667"/>
      <c r="O53" s="667"/>
      <c r="P53" s="667"/>
      <c r="Q53" s="667"/>
      <c r="R53" s="667"/>
      <c r="AA53" s="597"/>
      <c r="AF53" s="598"/>
    </row>
    <row r="54" spans="1:35" ht="12.75" customHeight="1" x14ac:dyDescent="0.2">
      <c r="A54" s="286"/>
      <c r="B54" s="667"/>
      <c r="C54" s="775" t="b">
        <f>IF(AND(selezione_passo_descrizione_intervento="x",ImportoOneriSmaltRif_NuovaDest&lt;&gt;0),TRUE,FALSE)</f>
        <v>0</v>
      </c>
      <c r="D54" s="775"/>
      <c r="E54" s="775"/>
      <c r="F54" s="614"/>
      <c r="G54" s="614"/>
      <c r="H54" s="667"/>
      <c r="I54" s="667"/>
      <c r="J54" s="667"/>
      <c r="K54" s="667"/>
      <c r="L54" s="667"/>
      <c r="M54" s="667"/>
      <c r="N54" s="667"/>
      <c r="O54" s="667"/>
      <c r="P54" s="667"/>
      <c r="Q54" s="667"/>
      <c r="R54" s="667"/>
      <c r="AA54" s="455"/>
      <c r="AB54" s="456"/>
      <c r="AC54" s="456"/>
      <c r="AD54" s="456"/>
      <c r="AE54" s="456"/>
      <c r="AF54" s="456"/>
    </row>
    <row r="55" spans="1:35" ht="13.5" thickBot="1" x14ac:dyDescent="0.25">
      <c r="A55" s="286"/>
      <c r="B55" s="667"/>
      <c r="C55" s="614"/>
      <c r="D55" s="614"/>
      <c r="E55" s="614"/>
      <c r="F55" s="614"/>
      <c r="G55" s="614"/>
      <c r="H55" s="667"/>
      <c r="I55" s="667"/>
      <c r="J55" s="667"/>
      <c r="K55" s="667"/>
      <c r="L55" s="667"/>
      <c r="M55" s="667"/>
      <c r="N55" s="667"/>
      <c r="O55" s="667"/>
      <c r="P55" s="667"/>
      <c r="Q55" s="667"/>
      <c r="R55" s="667"/>
      <c r="U55" s="611"/>
      <c r="V55" s="612"/>
      <c r="W55" s="456"/>
      <c r="X55" s="456"/>
      <c r="Y55" s="456"/>
      <c r="Z55" s="456"/>
      <c r="AA55" s="456"/>
      <c r="AB55" s="456"/>
      <c r="AC55" s="456"/>
      <c r="AD55" s="610"/>
      <c r="AE55" s="613"/>
      <c r="AF55" s="611"/>
    </row>
    <row r="56" spans="1:35" ht="13.5" customHeight="1" thickTop="1" x14ac:dyDescent="0.2">
      <c r="A56" s="286"/>
      <c r="B56" s="667"/>
      <c r="C56" s="614"/>
      <c r="D56" s="614"/>
      <c r="E56" s="614"/>
      <c r="F56" s="614"/>
      <c r="G56" s="614"/>
      <c r="H56" s="667"/>
      <c r="I56" s="667"/>
      <c r="J56" s="667"/>
      <c r="K56" s="667"/>
      <c r="L56" s="667"/>
      <c r="M56" s="667"/>
      <c r="N56" s="667"/>
      <c r="O56" s="667"/>
      <c r="P56" s="667"/>
      <c r="Q56" s="667"/>
      <c r="R56" s="667"/>
      <c r="T56" s="723" t="s">
        <v>334</v>
      </c>
      <c r="U56" s="724"/>
      <c r="V56" s="724"/>
      <c r="W56" s="724"/>
      <c r="X56" s="633"/>
      <c r="Y56" s="634"/>
      <c r="AB56" s="723" t="s">
        <v>335</v>
      </c>
      <c r="AC56" s="724"/>
      <c r="AD56" s="724"/>
      <c r="AE56" s="724"/>
      <c r="AF56" s="724"/>
      <c r="AG56" s="633"/>
      <c r="AH56" s="634"/>
    </row>
    <row r="57" spans="1:35" x14ac:dyDescent="0.2">
      <c r="A57" s="286"/>
      <c r="B57" s="667"/>
      <c r="C57" s="775" t="b">
        <f>IF(AND(selezione_passo_descrizione_intervento="x",F57&gt;0),TRUE,FALSE)</f>
        <v>0</v>
      </c>
      <c r="D57" s="775"/>
      <c r="E57" s="775"/>
      <c r="F57" s="775">
        <f>DetClasse_SupUtile+DetClasseEdificio_SupUtile</f>
        <v>0</v>
      </c>
      <c r="G57" s="775"/>
      <c r="H57" s="667"/>
      <c r="I57" s="667"/>
      <c r="J57" s="667"/>
      <c r="K57" s="667"/>
      <c r="L57" s="667"/>
      <c r="M57" s="667"/>
      <c r="N57" s="667"/>
      <c r="O57" s="667"/>
      <c r="P57" s="667"/>
      <c r="Q57" s="667"/>
      <c r="R57" s="667"/>
      <c r="T57" s="725"/>
      <c r="U57" s="705"/>
      <c r="V57" s="705"/>
      <c r="W57" s="705"/>
      <c r="X57" s="553"/>
      <c r="Y57" s="635"/>
      <c r="AB57" s="725"/>
      <c r="AC57" s="705"/>
      <c r="AD57" s="705"/>
      <c r="AE57" s="705"/>
      <c r="AF57" s="705"/>
      <c r="AG57" s="553"/>
      <c r="AH57" s="635"/>
    </row>
    <row r="58" spans="1:35" ht="13.5" thickBot="1" x14ac:dyDescent="0.25">
      <c r="A58" s="286"/>
      <c r="B58" s="667"/>
      <c r="C58" s="775" t="b">
        <f ca="1">IF(AND(selezione_passo_descrizione_intervento="x",CostoCost_Nuov_Ampl_EscCorrisposto&gt;0),TRUE,FALSE)</f>
        <v>0</v>
      </c>
      <c r="D58" s="775"/>
      <c r="E58" s="775"/>
      <c r="F58" s="775"/>
      <c r="G58" s="775"/>
      <c r="H58" s="667"/>
      <c r="I58" s="667"/>
      <c r="J58" s="667"/>
      <c r="K58" s="667"/>
      <c r="L58" s="667"/>
      <c r="M58" s="667"/>
      <c r="N58" s="667"/>
      <c r="O58" s="667"/>
      <c r="P58" s="667"/>
      <c r="Q58" s="667"/>
      <c r="R58" s="667"/>
      <c r="T58" s="726"/>
      <c r="U58" s="727"/>
      <c r="V58" s="727"/>
      <c r="W58" s="727"/>
      <c r="X58" s="636"/>
      <c r="Y58" s="637"/>
      <c r="AB58" s="726"/>
      <c r="AC58" s="727"/>
      <c r="AD58" s="727"/>
      <c r="AE58" s="727"/>
      <c r="AF58" s="727"/>
      <c r="AG58" s="636"/>
      <c r="AH58" s="637"/>
    </row>
    <row r="59" spans="1:35" ht="13.5" thickTop="1" x14ac:dyDescent="0.2">
      <c r="A59" s="286"/>
      <c r="B59" s="667"/>
      <c r="C59" s="775" t="b">
        <f ca="1">IF(AND(selezione_passo_descrizione_intervento="x",CostoCost_Ristr_EscCorrisposto&gt;0),TRUE,FALSE)</f>
        <v>0</v>
      </c>
      <c r="D59" s="775"/>
      <c r="E59" s="775"/>
      <c r="F59" s="614"/>
      <c r="G59" s="614"/>
      <c r="H59" s="667"/>
      <c r="I59" s="667"/>
      <c r="J59" s="667"/>
      <c r="K59" s="667"/>
      <c r="L59" s="667"/>
      <c r="M59" s="667"/>
      <c r="N59" s="667"/>
      <c r="O59" s="667"/>
      <c r="P59" s="667"/>
      <c r="Q59" s="667"/>
      <c r="R59" s="667"/>
    </row>
    <row r="60" spans="1:35" hidden="1" x14ac:dyDescent="0.2">
      <c r="A60" s="286"/>
      <c r="B60" s="667"/>
      <c r="C60" s="775" t="b">
        <f ca="1">IF(AND(selezione_passo_descrizione_intervento="x",CostoCost_Sott_ContEscMagg&lt;&gt;0),TRUE,FALSE)</f>
        <v>0</v>
      </c>
      <c r="D60" s="775"/>
      <c r="E60" s="775"/>
      <c r="F60" s="614"/>
      <c r="G60" s="614"/>
      <c r="H60" s="667"/>
      <c r="I60" s="667"/>
      <c r="J60" s="667"/>
      <c r="K60" s="667"/>
      <c r="L60" s="667"/>
      <c r="M60" s="667"/>
      <c r="N60" s="667"/>
      <c r="O60" s="667"/>
      <c r="P60" s="667"/>
      <c r="Q60" s="667"/>
      <c r="R60" s="667"/>
    </row>
    <row r="61" spans="1:35" hidden="1" x14ac:dyDescent="0.2">
      <c r="A61" s="286"/>
      <c r="B61" s="667"/>
      <c r="C61" s="614"/>
      <c r="D61" s="614"/>
      <c r="E61" s="614"/>
      <c r="F61" s="614"/>
      <c r="G61" s="614"/>
      <c r="H61" s="667"/>
      <c r="I61" s="667"/>
      <c r="J61" s="667"/>
      <c r="K61" s="667"/>
      <c r="L61" s="667"/>
      <c r="M61" s="667"/>
      <c r="N61" s="667"/>
      <c r="O61" s="667"/>
      <c r="P61" s="667"/>
      <c r="Q61" s="667"/>
      <c r="R61" s="667"/>
    </row>
    <row r="62" spans="1:35" hidden="1" x14ac:dyDescent="0.2">
      <c r="A62" s="286"/>
      <c r="B62" s="667"/>
      <c r="C62" s="775" t="b">
        <f>IF(AND(selezione_passo_descrizione_intervento="x",Riepilogo_MonetizzAreeStand&gt;0),TRUE,FALSE)</f>
        <v>0</v>
      </c>
      <c r="D62" s="775"/>
      <c r="E62" s="775"/>
      <c r="F62" s="775" t="b">
        <f>VLOOKUP(TRUE,$C$62:$E$63,1)</f>
        <v>0</v>
      </c>
      <c r="G62" s="775"/>
      <c r="H62" s="667"/>
      <c r="I62" s="667"/>
      <c r="J62" s="667"/>
      <c r="K62" s="667"/>
      <c r="L62" s="667"/>
      <c r="M62" s="667"/>
      <c r="N62" s="667"/>
      <c r="O62" s="667"/>
      <c r="P62" s="667"/>
      <c r="Q62" s="667"/>
      <c r="R62" s="667"/>
    </row>
    <row r="63" spans="1:35" hidden="1" x14ac:dyDescent="0.2">
      <c r="A63" s="286"/>
      <c r="B63" s="667"/>
      <c r="C63" s="775" t="b">
        <f>IF(AND(selezione_passo_descrizione_intervento="x",Riepilogo_MonetizzParcheggi&gt;0),TRUE,FALSE)</f>
        <v>0</v>
      </c>
      <c r="D63" s="775"/>
      <c r="E63" s="775"/>
      <c r="F63" s="614"/>
      <c r="G63" s="614"/>
      <c r="H63" s="667"/>
      <c r="I63" s="667"/>
      <c r="J63" s="667"/>
      <c r="K63" s="667"/>
      <c r="L63" s="667"/>
      <c r="M63" s="667"/>
      <c r="N63" s="667"/>
      <c r="O63" s="667"/>
      <c r="P63" s="667"/>
      <c r="Q63" s="667"/>
      <c r="R63" s="667"/>
    </row>
    <row r="64" spans="1:35" hidden="1" x14ac:dyDescent="0.2">
      <c r="A64" s="286"/>
      <c r="B64" s="667"/>
      <c r="C64" s="614"/>
      <c r="D64" s="614"/>
      <c r="E64" s="614"/>
      <c r="F64" s="614"/>
      <c r="G64" s="614"/>
      <c r="H64" s="667"/>
      <c r="I64" s="667"/>
      <c r="J64" s="667"/>
      <c r="K64" s="667"/>
      <c r="L64" s="667"/>
      <c r="M64" s="667"/>
      <c r="N64" s="667"/>
      <c r="O64" s="667"/>
      <c r="P64" s="667"/>
      <c r="Q64" s="667"/>
      <c r="R64" s="667"/>
    </row>
    <row r="65" spans="1:18" hidden="1" x14ac:dyDescent="0.2">
      <c r="A65" s="286"/>
      <c r="B65" s="667"/>
      <c r="C65" s="775" t="b">
        <f>IF(AND(selezione_passo_descrizione_intervento="x",CostoCostStatoFatto_ContributoDovuto&lt;&gt;0),TRUE,FALSE)</f>
        <v>0</v>
      </c>
      <c r="D65" s="775"/>
      <c r="E65" s="775"/>
      <c r="F65" s="614"/>
      <c r="G65" s="614"/>
      <c r="H65" s="667"/>
      <c r="I65" s="667"/>
      <c r="J65" s="667"/>
      <c r="K65" s="667"/>
      <c r="L65" s="667"/>
      <c r="M65" s="667"/>
      <c r="N65" s="667"/>
      <c r="O65" s="667"/>
      <c r="P65" s="667"/>
      <c r="Q65" s="667"/>
      <c r="R65" s="667"/>
    </row>
    <row r="66" spans="1:18" hidden="1" x14ac:dyDescent="0.2">
      <c r="A66" s="286"/>
      <c r="B66" s="667"/>
      <c r="C66" s="775" t="b">
        <f>IF(AND(selezione_passo_descrizione_intervento="x",CostoCostProg_ContributoDovuto&gt;0),TRUE,FALSE)</f>
        <v>0</v>
      </c>
      <c r="D66" s="775"/>
      <c r="E66" s="775"/>
      <c r="F66" s="614"/>
      <c r="G66" s="614"/>
      <c r="H66" s="667"/>
      <c r="I66" s="667"/>
      <c r="J66" s="667"/>
      <c r="K66" s="667"/>
      <c r="L66" s="667"/>
      <c r="M66" s="667"/>
      <c r="N66" s="667"/>
      <c r="O66" s="667"/>
      <c r="P66" s="667"/>
      <c r="Q66" s="667"/>
      <c r="R66" s="667"/>
    </row>
    <row r="67" spans="1:18" hidden="1" x14ac:dyDescent="0.2">
      <c r="A67" s="286"/>
      <c r="B67" s="667"/>
      <c r="C67" s="614"/>
      <c r="D67" s="614"/>
      <c r="E67" s="614"/>
      <c r="F67" s="614"/>
      <c r="G67" s="614"/>
      <c r="H67" s="667"/>
      <c r="I67" s="667"/>
      <c r="J67" s="667"/>
      <c r="K67" s="667"/>
      <c r="L67" s="667"/>
      <c r="M67" s="667"/>
      <c r="N67" s="667"/>
      <c r="O67" s="667"/>
      <c r="P67" s="667"/>
      <c r="Q67" s="667"/>
      <c r="R67" s="667"/>
    </row>
    <row r="68" spans="1:18" hidden="1" x14ac:dyDescent="0.2">
      <c r="A68" s="286"/>
      <c r="B68" s="667"/>
      <c r="C68" s="775" t="b">
        <f>IF(AND(selezione_passo_descrizione_intervento="x",Volume_Recupero_Sottotetti&gt;0),TRUE,FALSE)</f>
        <v>0</v>
      </c>
      <c r="D68" s="775"/>
      <c r="E68" s="775"/>
      <c r="F68" s="775"/>
      <c r="G68" s="775"/>
      <c r="H68" s="667"/>
      <c r="I68" s="667"/>
      <c r="J68" s="667"/>
      <c r="K68" s="667"/>
      <c r="L68" s="667"/>
      <c r="M68" s="667"/>
      <c r="N68" s="667"/>
      <c r="O68" s="667"/>
      <c r="P68" s="667"/>
      <c r="Q68" s="667"/>
      <c r="R68" s="667"/>
    </row>
    <row r="69" spans="1:18" hidden="1" x14ac:dyDescent="0.2">
      <c r="A69" s="286"/>
      <c r="B69" s="667"/>
      <c r="C69" s="667"/>
      <c r="D69" s="667"/>
      <c r="E69" s="667"/>
      <c r="F69" s="667"/>
      <c r="G69" s="667"/>
      <c r="H69" s="667"/>
      <c r="I69" s="667"/>
      <c r="J69" s="667"/>
      <c r="K69" s="667"/>
      <c r="L69" s="667"/>
      <c r="M69" s="667"/>
      <c r="N69" s="667"/>
      <c r="O69" s="667"/>
      <c r="P69" s="667"/>
      <c r="Q69" s="667"/>
      <c r="R69" s="667"/>
    </row>
    <row r="70" spans="1:18" hidden="1" x14ac:dyDescent="0.2">
      <c r="A70" s="286"/>
      <c r="B70" s="667"/>
      <c r="C70" s="667"/>
      <c r="D70" s="667"/>
      <c r="E70" s="667"/>
      <c r="F70" s="667"/>
      <c r="G70" s="667"/>
      <c r="H70" s="667"/>
      <c r="I70" s="667"/>
      <c r="J70" s="667"/>
      <c r="K70" s="667"/>
      <c r="L70" s="667"/>
      <c r="M70" s="667"/>
      <c r="N70" s="667"/>
      <c r="O70" s="667"/>
      <c r="P70" s="667"/>
      <c r="Q70" s="667"/>
      <c r="R70" s="667"/>
    </row>
    <row r="71" spans="1:18" hidden="1" x14ac:dyDescent="0.2">
      <c r="A71" s="286"/>
      <c r="B71" s="667"/>
      <c r="C71" s="667"/>
      <c r="D71" s="667"/>
      <c r="E71" s="667"/>
      <c r="F71" s="667"/>
      <c r="G71" s="667"/>
      <c r="H71" s="667"/>
      <c r="I71" s="667"/>
      <c r="J71" s="667"/>
      <c r="K71" s="667"/>
      <c r="L71" s="667"/>
      <c r="M71" s="667"/>
      <c r="N71" s="667"/>
      <c r="O71" s="667"/>
      <c r="P71" s="667"/>
      <c r="Q71" s="667"/>
      <c r="R71" s="667"/>
    </row>
    <row r="72" spans="1:18" hidden="1" x14ac:dyDescent="0.2">
      <c r="A72" s="286"/>
      <c r="B72" s="667"/>
      <c r="C72" s="667"/>
      <c r="D72" s="667"/>
      <c r="E72" s="667"/>
      <c r="F72" s="667"/>
      <c r="G72" s="667"/>
      <c r="H72" s="667"/>
      <c r="I72" s="667"/>
      <c r="J72" s="667"/>
      <c r="K72" s="667"/>
      <c r="L72" s="667"/>
      <c r="M72" s="667"/>
      <c r="N72" s="667"/>
      <c r="O72" s="667"/>
      <c r="P72" s="667"/>
      <c r="Q72" s="667"/>
      <c r="R72" s="667"/>
    </row>
    <row r="73" spans="1:18" hidden="1" x14ac:dyDescent="0.2">
      <c r="A73" s="286"/>
      <c r="B73" s="667"/>
      <c r="C73" s="667"/>
      <c r="D73" s="667"/>
      <c r="E73" s="667"/>
      <c r="F73" s="667"/>
      <c r="G73" s="667"/>
      <c r="H73" s="667"/>
      <c r="I73" s="667"/>
      <c r="J73" s="667"/>
      <c r="K73" s="667"/>
      <c r="L73" s="667"/>
      <c r="M73" s="667"/>
      <c r="N73" s="667"/>
      <c r="O73" s="667"/>
      <c r="P73" s="667"/>
      <c r="Q73" s="667"/>
      <c r="R73" s="667"/>
    </row>
    <row r="74" spans="1:18" hidden="1" x14ac:dyDescent="0.2">
      <c r="A74" s="286"/>
      <c r="B74" s="667"/>
      <c r="C74" s="667"/>
      <c r="D74" s="667"/>
      <c r="E74" s="667"/>
      <c r="F74" s="667"/>
      <c r="G74" s="667"/>
      <c r="H74" s="667"/>
      <c r="I74" s="667"/>
      <c r="J74" s="667"/>
      <c r="K74" s="667"/>
      <c r="L74" s="667"/>
      <c r="M74" s="667"/>
      <c r="N74" s="667"/>
      <c r="O74" s="667"/>
      <c r="P74" s="667"/>
      <c r="Q74" s="667"/>
      <c r="R74" s="667"/>
    </row>
    <row r="75" spans="1:18" hidden="1" x14ac:dyDescent="0.2">
      <c r="B75" s="667"/>
      <c r="C75" s="667"/>
      <c r="D75" s="667"/>
      <c r="E75" s="667"/>
      <c r="F75" s="667"/>
      <c r="G75" s="667"/>
      <c r="H75" s="667"/>
      <c r="I75" s="667"/>
      <c r="J75" s="667"/>
      <c r="K75" s="667"/>
      <c r="L75" s="667"/>
      <c r="M75" s="667"/>
      <c r="N75" s="667"/>
      <c r="O75" s="667"/>
      <c r="P75" s="667"/>
      <c r="Q75" s="667"/>
      <c r="R75" s="667"/>
    </row>
  </sheetData>
  <sheetProtection password="83CC" sheet="1" objects="1" scenarios="1" formatColumns="0" formatRows="0" insertRows="0"/>
  <mergeCells count="76">
    <mergeCell ref="C52:E52"/>
    <mergeCell ref="C68:E68"/>
    <mergeCell ref="F68:G68"/>
    <mergeCell ref="C62:E62"/>
    <mergeCell ref="C63:E63"/>
    <mergeCell ref="C60:E60"/>
    <mergeCell ref="F62:G62"/>
    <mergeCell ref="C65:E65"/>
    <mergeCell ref="C66:E66"/>
    <mergeCell ref="C59:E59"/>
    <mergeCell ref="C54:E54"/>
    <mergeCell ref="C57:E57"/>
    <mergeCell ref="C58:E58"/>
    <mergeCell ref="F57:G57"/>
    <mergeCell ref="F58:G58"/>
    <mergeCell ref="C53:E53"/>
    <mergeCell ref="I49:J49"/>
    <mergeCell ref="F49:G49"/>
    <mergeCell ref="C51:E51"/>
    <mergeCell ref="F50:G50"/>
    <mergeCell ref="C50:E50"/>
    <mergeCell ref="C49:E49"/>
    <mergeCell ref="B1:U5"/>
    <mergeCell ref="L8:L9"/>
    <mergeCell ref="D23:G25"/>
    <mergeCell ref="D27:G29"/>
    <mergeCell ref="C31:G33"/>
    <mergeCell ref="N23:Q25"/>
    <mergeCell ref="M11:S13"/>
    <mergeCell ref="C11:G13"/>
    <mergeCell ref="M31:Q33"/>
    <mergeCell ref="N27:Q29"/>
    <mergeCell ref="C15:I17"/>
    <mergeCell ref="M15:S17"/>
    <mergeCell ref="D19:G21"/>
    <mergeCell ref="N19:Q21"/>
    <mergeCell ref="V8:V9"/>
    <mergeCell ref="M8:T9"/>
    <mergeCell ref="B8:B9"/>
    <mergeCell ref="C8:J9"/>
    <mergeCell ref="AR8:AZ9"/>
    <mergeCell ref="AR11:AY13"/>
    <mergeCell ref="AH15:AN17"/>
    <mergeCell ref="W3:W5"/>
    <mergeCell ref="X3:AB5"/>
    <mergeCell ref="W8:AD9"/>
    <mergeCell ref="AH8:AO9"/>
    <mergeCell ref="AQ8:AQ9"/>
    <mergeCell ref="AG8:AG9"/>
    <mergeCell ref="AH11:AN13"/>
    <mergeCell ref="AS39:AV41"/>
    <mergeCell ref="AR43:AW45"/>
    <mergeCell ref="AR31:AY33"/>
    <mergeCell ref="AI27:AL29"/>
    <mergeCell ref="AH31:AL33"/>
    <mergeCell ref="AH35:AL37"/>
    <mergeCell ref="T56:W58"/>
    <mergeCell ref="AB56:AF58"/>
    <mergeCell ref="W11:AA13"/>
    <mergeCell ref="X23:AA25"/>
    <mergeCell ref="X27:AA29"/>
    <mergeCell ref="X35:AA37"/>
    <mergeCell ref="X39:AA41"/>
    <mergeCell ref="AB48:AG48"/>
    <mergeCell ref="W31:AC33"/>
    <mergeCell ref="AC50:AG52"/>
    <mergeCell ref="U51:Z51"/>
    <mergeCell ref="AS23:AV25"/>
    <mergeCell ref="AS27:AV29"/>
    <mergeCell ref="W15:AC17"/>
    <mergeCell ref="AS35:AV37"/>
    <mergeCell ref="X19:AA21"/>
    <mergeCell ref="AI19:AL21"/>
    <mergeCell ref="AI23:AL25"/>
    <mergeCell ref="AS19:AV21"/>
    <mergeCell ref="AR15:AY17"/>
  </mergeCells>
  <conditionalFormatting sqref="B8:B9">
    <cfRule type="expression" dxfId="127" priority="237" stopIfTrue="1">
      <formula>AND(selezione_passo_descrizione_intervento="x",selezione_nuova_costruzione="o")</formula>
    </cfRule>
  </conditionalFormatting>
  <conditionalFormatting sqref="C11 H11:I13">
    <cfRule type="expression" dxfId="126" priority="22" stopIfTrue="1">
      <formula>AND(selezione_nuova_costruzione="x",$C$49=TRUE)</formula>
    </cfRule>
    <cfRule type="expression" dxfId="125" priority="23" stopIfTrue="1">
      <formula>AND(selezione_passo_descrizione_intervento="x",selezione_nuova_costruzione="x")</formula>
    </cfRule>
  </conditionalFormatting>
  <conditionalFormatting sqref="C31 H31:I33">
    <cfRule type="expression" dxfId="124" priority="246" stopIfTrue="1">
      <formula>AND(selezione_passo_descrizione_intervento="x",selezione_nuova_costruzione="x")</formula>
    </cfRule>
    <cfRule type="expression" dxfId="123" priority="46" stopIfTrue="1">
      <formula>AND(selezione_nuova_costruzione="x",$F$62=TRUE)</formula>
    </cfRule>
  </conditionalFormatting>
  <conditionalFormatting sqref="D19 H19:H21">
    <cfRule type="expression" dxfId="122" priority="9" stopIfTrue="1">
      <formula>AND(selezione_nuova_costruzione="x",COUNTIF(elenco_riepilogo_sua_snr,"&gt;0"))</formula>
    </cfRule>
    <cfRule type="expression" dxfId="121" priority="10" stopIfTrue="1">
      <formula>AND(selezione_passo_descrizione_intervento="x",selezione_nuova_costruzione="x")</formula>
    </cfRule>
  </conditionalFormatting>
  <conditionalFormatting sqref="D23 H23:H25">
    <cfRule type="expression" dxfId="120" priority="238" stopIfTrue="1">
      <formula>AND(selezione_passo_descrizione_intervento="x",selezione_nuova_costruzione="x")</formula>
    </cfRule>
    <cfRule type="expression" dxfId="119" priority="48" stopIfTrue="1">
      <formula>AND(selezione_nuova_costruzione="x",$C$57=TRUE)</formula>
    </cfRule>
  </conditionalFormatting>
  <conditionalFormatting sqref="D27 H27:H29">
    <cfRule type="expression" dxfId="118" priority="47" stopIfTrue="1">
      <formula>AND(selezione_nuova_costruzione="x",$C$58=TRUE)</formula>
    </cfRule>
    <cfRule type="expression" dxfId="117" priority="243" stopIfTrue="1">
      <formula>AND(selezione_passo_descrizione_intervento="x",selezione_nuova_costruzione="x")</formula>
    </cfRule>
  </conditionalFormatting>
  <conditionalFormatting sqref="L8:L9">
    <cfRule type="expression" dxfId="116" priority="111" stopIfTrue="1">
      <formula>AND(selezione_passo_descrizione_intervento="x",selezione_ampliamento="o")</formula>
    </cfRule>
  </conditionalFormatting>
  <conditionalFormatting sqref="M31 R31:S33">
    <cfRule type="expression" dxfId="115" priority="42" stopIfTrue="1">
      <formula>IF(selezione_ampliamento="x",$F$62=TRUE)</formula>
    </cfRule>
    <cfRule type="expression" dxfId="114" priority="247" stopIfTrue="1">
      <formula>AND(selezione_passo_descrizione_intervento="x",selezione_ampliamento="x")</formula>
    </cfRule>
  </conditionalFormatting>
  <conditionalFormatting sqref="M11:S13">
    <cfRule type="expression" dxfId="113" priority="24" stopIfTrue="1">
      <formula>AND(selezione_ampliamento="x",$C$49=TRUE)</formula>
    </cfRule>
    <cfRule type="expression" dxfId="112" priority="25" stopIfTrue="1">
      <formula>AND(selezione_passo_descrizione_intervento="x",selezione_ampliamento="x")</formula>
    </cfRule>
  </conditionalFormatting>
  <conditionalFormatting sqref="N19 R19:R21">
    <cfRule type="expression" dxfId="111" priority="7" stopIfTrue="1">
      <formula>AND(selezione_ampliamento="x",COUNTIF(elenco_riepilogo_sua_snr,"&gt;0"))</formula>
    </cfRule>
    <cfRule type="expression" dxfId="110" priority="8" stopIfTrue="1">
      <formula>AND(selezione_passo_descrizione_intervento="x",selezione_ampliamento="x")</formula>
    </cfRule>
  </conditionalFormatting>
  <conditionalFormatting sqref="N23 R23:R25">
    <cfRule type="expression" dxfId="109" priority="239" stopIfTrue="1">
      <formula>AND(selezione_passo_descrizione_intervento="x",selezione_ampliamento="x")</formula>
    </cfRule>
    <cfRule type="expression" dxfId="108" priority="44" stopIfTrue="1">
      <formula>IF(selezione_ampliamento="x",$C$57=TRUE)</formula>
    </cfRule>
  </conditionalFormatting>
  <conditionalFormatting sqref="N27 R27:R29">
    <cfRule type="expression" dxfId="107" priority="43" stopIfTrue="1">
      <formula>IF(selezione_ampliamento="x",$C$59=TRUE)</formula>
    </cfRule>
    <cfRule type="expression" dxfId="106" priority="245" stopIfTrue="1">
      <formula>AND(selezione_passo_descrizione_intervento="x",selezione_ampliamento="x")</formula>
    </cfRule>
  </conditionalFormatting>
  <conditionalFormatting sqref="V8:V9">
    <cfRule type="expression" dxfId="105" priority="236" stopIfTrue="1">
      <formula>AND(selezione_passo_descrizione_intervento="x",selezione_ristrutturazione="o")</formula>
    </cfRule>
  </conditionalFormatting>
  <conditionalFormatting sqref="W11 AB11:AC13">
    <cfRule type="expression" dxfId="104" priority="20" stopIfTrue="1">
      <formula>AND(selezione_ristrutturazione="X",$C$49=TRUE)</formula>
    </cfRule>
    <cfRule type="expression" dxfId="103" priority="21" stopIfTrue="1">
      <formula>AND(selezione_passo_descrizione_intervento="x",selezione_ristrutturazione="x")</formula>
    </cfRule>
  </conditionalFormatting>
  <conditionalFormatting sqref="W3:AC5">
    <cfRule type="expression" dxfId="102" priority="74" stopIfTrue="1">
      <formula>selezione_passo_descrizione_intervento="x"</formula>
    </cfRule>
  </conditionalFormatting>
  <conditionalFormatting sqref="X19 AB19:AB21">
    <cfRule type="expression" dxfId="101" priority="5" stopIfTrue="1">
      <formula>AND(selezione_ristrutturazione="x",COUNTIF(elenco_riepilogo_sua_snr,"&gt;0"))</formula>
    </cfRule>
    <cfRule type="expression" dxfId="100" priority="6" stopIfTrue="1">
      <formula>AND(selezione_passo_descrizione_intervento="x",selezione_ristrutturazione="x")</formula>
    </cfRule>
  </conditionalFormatting>
  <conditionalFormatting sqref="X23 AB23:AB25">
    <cfRule type="expression" dxfId="99" priority="240" stopIfTrue="1">
      <formula>AND(selezione_passo_descrizione_intervento="x",selezione_ristrutturazione="x")</formula>
    </cfRule>
    <cfRule type="expression" dxfId="98" priority="40" stopIfTrue="1">
      <formula>IF(selezione_ristrutturazione="x",$C$57=TRUE)</formula>
    </cfRule>
  </conditionalFormatting>
  <conditionalFormatting sqref="X35 AB35:AB37">
    <cfRule type="expression" dxfId="97" priority="38" stopIfTrue="1">
      <formula>AND(selezione_ristrutturazione="x",$C$65,TRUE)</formula>
    </cfRule>
    <cfRule type="expression" dxfId="96" priority="55" stopIfTrue="1">
      <formula>AND(selezione_passo_descrizione_intervento="x",selezione_ristrutturazione="x")</formula>
    </cfRule>
  </conditionalFormatting>
  <conditionalFormatting sqref="X39 AB39:AB41">
    <cfRule type="expression" dxfId="95" priority="54" stopIfTrue="1">
      <formula>AND(selezione_passo_descrizione_intervento="x",selezione_ristrutturazione="x")</formula>
    </cfRule>
    <cfRule type="expression" dxfId="94" priority="37" stopIfTrue="1">
      <formula>AND(selezione_ristrutturazione="x",$C$66,TRUE)</formula>
    </cfRule>
  </conditionalFormatting>
  <conditionalFormatting sqref="X27:AB29">
    <cfRule type="expression" dxfId="93" priority="11" stopIfTrue="1">
      <formula>IF(selezione_ristrutturazione="x",$C$59=TRUE)</formula>
    </cfRule>
    <cfRule type="expression" dxfId="92" priority="12" stopIfTrue="1">
      <formula>AND(selezione_passo_descrizione_intervento="x",selezione_ristrutturazione="x")</formula>
    </cfRule>
  </conditionalFormatting>
  <conditionalFormatting sqref="AC50:AI52">
    <cfRule type="expression" dxfId="91" priority="76" stopIfTrue="1">
      <formula>AND(Rateizzazione_ImportoFidejussione&gt;0,Rateizzazione_ScadenzaFidejussione&gt;0)</formula>
    </cfRule>
  </conditionalFormatting>
  <conditionalFormatting sqref="AG8:AG9">
    <cfRule type="expression" dxfId="90" priority="235" stopIfTrue="1">
      <formula>AND(selezione_passo_descrizione_intervento="x",selezione_sottotetti="o")</formula>
    </cfRule>
  </conditionalFormatting>
  <conditionalFormatting sqref="AH31 AM31:AN33">
    <cfRule type="expression" dxfId="89" priority="50" stopIfTrue="1">
      <formula>AND(selezione_passo_descrizione_intervento="x",selezione_sottotetti="x")</formula>
    </cfRule>
    <cfRule type="expression" dxfId="88" priority="33" stopIfTrue="1">
      <formula>AND(selezione_sottotetti="x",$C$68,TRUE)</formula>
    </cfRule>
  </conditionalFormatting>
  <conditionalFormatting sqref="AH35 AM35:AN37">
    <cfRule type="expression" dxfId="87" priority="32" stopIfTrue="1">
      <formula>IF(selezione_sottotetti="x",$F$62=TRUE)</formula>
    </cfRule>
    <cfRule type="expression" dxfId="86" priority="248" stopIfTrue="1">
      <formula>AND(selezione_passo_descrizione_intervento="x",selezione_sottotetti="x")</formula>
    </cfRule>
  </conditionalFormatting>
  <conditionalFormatting sqref="AH11:AN13">
    <cfRule type="expression" dxfId="85" priority="19" stopIfTrue="1">
      <formula>AND(selezione_passo_descrizione_intervento="x",selezione_sottotetti="x")</formula>
    </cfRule>
    <cfRule type="expression" dxfId="84" priority="18" stopIfTrue="1">
      <formula>AND(selezione_sottotetti="x",$C$49=TRUE)</formula>
    </cfRule>
  </conditionalFormatting>
  <conditionalFormatting sqref="AI19 AM19:AM21">
    <cfRule type="expression" dxfId="83" priority="4" stopIfTrue="1">
      <formula>AND(selezione_passo_descrizione_intervento="x",selezione_sottotetti="x")</formula>
    </cfRule>
    <cfRule type="expression" dxfId="82" priority="3" stopIfTrue="1">
      <formula>AND(selezione_sottotetti="x",COUNTIF(elenco_riepilogo_sua_snr,"&gt;0"))</formula>
    </cfRule>
  </conditionalFormatting>
  <conditionalFormatting sqref="AI23 AM23:AM25">
    <cfRule type="expression" dxfId="81" priority="241" stopIfTrue="1">
      <formula>AND(selezione_passo_descrizione_intervento="x",selezione_sottotetti="x")</formula>
    </cfRule>
    <cfRule type="expression" dxfId="80" priority="35" stopIfTrue="1">
      <formula>IF(selezione_sottotetti="x",$C$57=TRUE)</formula>
    </cfRule>
  </conditionalFormatting>
  <conditionalFormatting sqref="AI27 AM27:AM29">
    <cfRule type="expression" dxfId="79" priority="60" stopIfTrue="1">
      <formula>AND(selezione_passo_descrizione_intervento="x",selezione_sottotetti="x")</formula>
    </cfRule>
    <cfRule type="expression" dxfId="78" priority="34" stopIfTrue="1">
      <formula>AND(selezione_sottotetti="x",$C$60=TRUE)</formula>
    </cfRule>
  </conditionalFormatting>
  <conditionalFormatting sqref="AQ8:AQ9">
    <cfRule type="expression" dxfId="77" priority="234" stopIfTrue="1">
      <formula>AND(selezione_passo_descrizione_intervento="x",selezione_cambio_uso="o")</formula>
    </cfRule>
  </conditionalFormatting>
  <conditionalFormatting sqref="AR43 AX43:AY45">
    <cfRule type="expression" dxfId="76" priority="26" stopIfTrue="1">
      <formula>IF(selezione_cambio_uso="x",$F$62=TRUE)</formula>
    </cfRule>
    <cfRule type="expression" dxfId="75" priority="249" stopIfTrue="1">
      <formula>AND(selezione_passo_descrizione_intervento="x",selezione_cambio_uso="x")</formula>
    </cfRule>
  </conditionalFormatting>
  <conditionalFormatting sqref="AR11:AY13">
    <cfRule type="expression" dxfId="74" priority="17" stopIfTrue="1">
      <formula>AND(selezione_passo_descrizione_intervento="x",selezione_cambio_uso="x")</formula>
    </cfRule>
    <cfRule type="expression" dxfId="73" priority="16" stopIfTrue="1">
      <formula>AND(selezione_cambio_uso="x",$C$49=TRUE)</formula>
    </cfRule>
  </conditionalFormatting>
  <conditionalFormatting sqref="AS19 AW19:AX21">
    <cfRule type="expression" dxfId="72" priority="1" stopIfTrue="1">
      <formula>AND(selezione_cambio_uso="x",COUNTIF(elenco_riepilogo_sua_snr,"&gt;0"))</formula>
    </cfRule>
    <cfRule type="expression" dxfId="71" priority="2" stopIfTrue="1">
      <formula>AND(selezione_passo_descrizione_intervento="x",selezione_cambio_uso="x")</formula>
    </cfRule>
  </conditionalFormatting>
  <conditionalFormatting sqref="AS23 AW23:AX25">
    <cfRule type="expression" dxfId="70" priority="30" stopIfTrue="1">
      <formula>IF(selezione_cambio_uso="x",$C$57=TRUE)</formula>
    </cfRule>
    <cfRule type="expression" dxfId="69" priority="242" stopIfTrue="1">
      <formula>AND(selezione_passo_descrizione_intervento="x",selezione_cambio_uso="x")</formula>
    </cfRule>
  </conditionalFormatting>
  <conditionalFormatting sqref="AS27 AW27:AX29">
    <cfRule type="expression" dxfId="68" priority="29" stopIfTrue="1">
      <formula>AND(selezione_cambio_uso="x",$C$60=TRUE)</formula>
    </cfRule>
    <cfRule type="expression" dxfId="67" priority="53" stopIfTrue="1">
      <formula>AND(selezione_passo_descrizione_intervento="x",selezione_cambio_uso="x")</formula>
    </cfRule>
  </conditionalFormatting>
  <conditionalFormatting sqref="AS35 AW35:AX37">
    <cfRule type="expression" dxfId="66" priority="28" stopIfTrue="1">
      <formula>AND(selezione_cambio_uso="x",$C$65,TRUE)</formula>
    </cfRule>
    <cfRule type="expression" dxfId="65" priority="52" stopIfTrue="1">
      <formula>AND(selezione_passo_descrizione_intervento="x",selezione_cambio_uso="x")</formula>
    </cfRule>
  </conditionalFormatting>
  <conditionalFormatting sqref="AS39 AW39:AX41">
    <cfRule type="expression" dxfId="64" priority="27" stopIfTrue="1">
      <formula>AND(selezione_cambio_uso="x",$C$66,TRUE)</formula>
    </cfRule>
    <cfRule type="expression" dxfId="63" priority="51" stopIfTrue="1">
      <formula>AND(selezione_passo_descrizione_intervento="x",selezione_cambio_uso="x")</formula>
    </cfRule>
  </conditionalFormatting>
  <dataValidations count="2">
    <dataValidation type="list" operator="equal" allowBlank="1" showInputMessage="1" showErrorMessage="1" sqref="B8:B9 L8:L9" xr:uid="{00000000-0002-0000-0000-000000000000}">
      <formula1>opzioni</formula1>
    </dataValidation>
    <dataValidation type="list" allowBlank="1" showInputMessage="1" showErrorMessage="1" sqref="AG8:AG9 AQ8:AQ9 AQ25:AQ26 AA6 V8:V9 W3:W5" xr:uid="{00000000-0002-0000-0000-000001000000}">
      <formula1>opzioni</formula1>
    </dataValidation>
  </dataValidations>
  <hyperlinks>
    <hyperlink ref="M11:S13" location="'Descrizione dell''intervento'!A1" display="Calcola gli oneri di urbanizzazione" xr:uid="{00000000-0004-0000-0000-000000000000}"/>
    <hyperlink ref="AH11:AN13" location="'Descrizione dell''intervento'!A1" display="Calcola gli oneri di urbanizzazione" xr:uid="{00000000-0004-0000-0000-000001000000}"/>
    <hyperlink ref="AR11:AY13" location="'Descrizione dell''intervento'!A1" display="Calcola gli  oneri di urbanizzazione" xr:uid="{00000000-0004-0000-0000-000002000000}"/>
    <hyperlink ref="C11:G13" location="'Descrizione dell''intervento'!A1" display="Calcola gli oneri di urbanizzazione" xr:uid="{00000000-0004-0000-0000-000003000000}"/>
    <hyperlink ref="D23:G25" location="'Determinazione classe'!A1" display="Determina la classe dell'edificio" xr:uid="{00000000-0004-0000-0000-000004000000}"/>
    <hyperlink ref="D27:G29" location="'Costo Costruzione'!A1" display="Calcola il costo di costruzione" xr:uid="{00000000-0004-0000-0000-000005000000}"/>
    <hyperlink ref="C31:G33" location="'Descrizione dell''intervento'!A1" display="Calcola la                  monetizzazione standards/parcheggi" xr:uid="{00000000-0004-0000-0000-000006000000}"/>
    <hyperlink ref="N23:Q25" location="'Determinazione classe'!A1" display="Determina la classe dell'edificio" xr:uid="{00000000-0004-0000-0000-000007000000}"/>
    <hyperlink ref="N27:Q29" location="'Costo Costruzione'!A1" display="Calcola il costo di costruzione" xr:uid="{00000000-0004-0000-0000-000008000000}"/>
    <hyperlink ref="M31:Q33" location="'Descrizione dell''intervento'!A1" display="Calcola la monetizzazione" xr:uid="{00000000-0004-0000-0000-000009000000}"/>
    <hyperlink ref="W11:AA13" location="'Descrizione dell''intervento'!A1" display="Calcola gli oneri di urbanizzazione" xr:uid="{00000000-0004-0000-0000-00000A000000}"/>
    <hyperlink ref="X23:AA25" location="'Determinazione classe'!A1" display="Determina la         classe         dell'edificio" xr:uid="{00000000-0004-0000-0000-00000B000000}"/>
    <hyperlink ref="X27:AA29" location="'Costo Costruzione'!A1" display="Calcola il costo di costruzione" xr:uid="{00000000-0004-0000-0000-00000C000000}"/>
    <hyperlink ref="X35:AA37" location="'Costo costruzione statofatto'!A1" display="Costo per lo stato di fatto" xr:uid="{00000000-0004-0000-0000-00000D000000}"/>
    <hyperlink ref="X39:AA41" location="'Costo costruzione progetto'!A1" display="Costo per lo               stato di progetto" xr:uid="{00000000-0004-0000-0000-00000E000000}"/>
    <hyperlink ref="AI23:AL25" location="'Determinazione classe'!A1" display="Determina la          classe          dell'edificio" xr:uid="{00000000-0004-0000-0000-00000F000000}"/>
    <hyperlink ref="AI27:AL29" location="'Costo Costruzione'!A1" display="Calcola il costo di costruzione" xr:uid="{00000000-0004-0000-0000-000010000000}"/>
    <hyperlink ref="AH31:AL33" location="'Calcolo superficie parcheggio'!A1" display="Calcola la superficie da adibire a parcheggi" xr:uid="{00000000-0004-0000-0000-000011000000}"/>
    <hyperlink ref="AH35:AL37" location="'Descrizione dell''intervento'!A1" display="Calcola la monetizzazione" xr:uid="{00000000-0004-0000-0000-000012000000}"/>
    <hyperlink ref="AS23:AV25" location="'Determinazione classe'!A1" display="Determina la classe dell'edificio" xr:uid="{00000000-0004-0000-0000-000013000000}"/>
    <hyperlink ref="AS27:AV29" location="'Costo Costruzione'!A1" display="Calcola il costo di costruzione" xr:uid="{00000000-0004-0000-0000-000014000000}"/>
    <hyperlink ref="AS35:AV37" location="'Costo costruzione statofatto'!A1" display="Costo per lo             stato di fatto" xr:uid="{00000000-0004-0000-0000-000015000000}"/>
    <hyperlink ref="AS39:AV41" location="'Costo costruzione progetto'!A1" display="Costo per lo stato di progetto" xr:uid="{00000000-0004-0000-0000-000016000000}"/>
    <hyperlink ref="AR43:AW45" location="'Descrizione dell''intervento'!A1" display="Calcola la monetizzazione" xr:uid="{00000000-0004-0000-0000-000017000000}"/>
    <hyperlink ref="T56:W58" location="'Riepilogo generale'!A1" display="Visualizza il               riepilogo generale" xr:uid="{00000000-0004-0000-0000-000018000000}"/>
    <hyperlink ref="AB56:AF58" location="'Riepilogo oneri e costi'!A1" display="Visualizza il riepilogo analitico degli oneri e costi" xr:uid="{00000000-0004-0000-0000-000019000000}"/>
    <hyperlink ref="D19:G21" location="'Determinazione classe'!A1" display="Determina la classe dell'edificio" xr:uid="{00000000-0004-0000-0000-00001A000000}"/>
    <hyperlink ref="N19:Q21" location="'Determinazione classe'!A1" display="Determina la classe dell'edificio" xr:uid="{00000000-0004-0000-0000-00001B000000}"/>
    <hyperlink ref="X19:AA21" location="'Determinazione classe'!A1" display="Determina la classe dell'edificio" xr:uid="{00000000-0004-0000-0000-00001C000000}"/>
    <hyperlink ref="AI19:AL21" location="'Determinazione classe'!A1" display="Determina la classe dell'edificio" xr:uid="{00000000-0004-0000-0000-00001D000000}"/>
    <hyperlink ref="AS19:AV21" location="'Determinazione classe'!A1" display="Determina la classe dell'edificio" xr:uid="{00000000-0004-0000-0000-00001E000000}"/>
    <hyperlink ref="D19:H21" location="'Calcolo superfici edificio'!A1" display="Calcola le superfici dell'edificio" xr:uid="{00000000-0004-0000-0000-00001F000000}"/>
    <hyperlink ref="N19:R21" location="'Calcolo superfici edificio'!A1" display="Calcola le superfici dell'edificio" xr:uid="{00000000-0004-0000-0000-000020000000}"/>
    <hyperlink ref="X19:AB21" location="'Calcolo superfici edificio'!A1" display="Calcola le superfici dell'edificio" xr:uid="{00000000-0004-0000-0000-000021000000}"/>
    <hyperlink ref="AI19:AM21" location="'Calcolo superfici edificio'!A1" display="Calcola le superfici dell'edificio" xr:uid="{00000000-0004-0000-0000-000022000000}"/>
    <hyperlink ref="AS19:AX21" location="'Calcolo superfici edificio'!A1" display="Calcola le superfici dell'edificio" xr:uid="{00000000-0004-0000-0000-000023000000}"/>
  </hyperlinks>
  <pageMargins left="0.11811023622047245" right="0.19685039370078741" top="0.55118110236220474" bottom="0.15748031496062992" header="0.31496062992125984" footer="0.31496062992125984"/>
  <pageSetup paperSize="9" scale="74" orientation="landscape"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66"/>
  </sheetPr>
  <dimension ref="A1:IU24"/>
  <sheetViews>
    <sheetView showGridLines="0" workbookViewId="0"/>
  </sheetViews>
  <sheetFormatPr defaultColWidth="0" defaultRowHeight="12.75" zeroHeight="1" x14ac:dyDescent="0.2"/>
  <cols>
    <col min="1" max="1" width="5.7109375" customWidth="1"/>
    <col min="2" max="2" width="7.7109375" customWidth="1"/>
    <col min="3" max="4" width="15.7109375" customWidth="1"/>
    <col min="5" max="5" width="18.7109375" customWidth="1"/>
    <col min="6" max="6" width="9.140625" hidden="1" customWidth="1"/>
    <col min="7" max="255" width="0" hidden="1" customWidth="1"/>
    <col min="256" max="16384" width="11.42578125" hidden="1"/>
  </cols>
  <sheetData>
    <row r="1" spans="1:6" x14ac:dyDescent="0.2"/>
    <row r="2" spans="1:6" ht="45" customHeight="1" thickBot="1" x14ac:dyDescent="0.25">
      <c r="A2" s="441"/>
      <c r="B2" s="1054" t="s">
        <v>226</v>
      </c>
      <c r="C2" s="1054"/>
      <c r="D2" s="1054"/>
      <c r="E2" s="441"/>
      <c r="F2" s="441"/>
    </row>
    <row r="3" spans="1:6" ht="38.25" x14ac:dyDescent="0.2">
      <c r="B3" s="187" t="s">
        <v>88</v>
      </c>
      <c r="C3" s="188" t="s">
        <v>227</v>
      </c>
      <c r="D3" s="189" t="s">
        <v>98</v>
      </c>
    </row>
    <row r="4" spans="1:6" ht="12.75" customHeight="1" x14ac:dyDescent="0.2">
      <c r="B4" s="183" t="str">
        <f>IF(C4&gt;0,1,"")</f>
        <v/>
      </c>
      <c r="C4" s="497">
        <v>0</v>
      </c>
      <c r="D4" s="190">
        <f t="shared" ref="D4:D22" si="0">IF(C4/10&gt;25,25,C4/10)</f>
        <v>0</v>
      </c>
    </row>
    <row r="5" spans="1:6" ht="12.75" customHeight="1" x14ac:dyDescent="0.2">
      <c r="B5" s="183" t="str">
        <f>IF(C5&gt;0,B4+1,"")</f>
        <v/>
      </c>
      <c r="C5" s="497">
        <v>0</v>
      </c>
      <c r="D5" s="190">
        <f t="shared" si="0"/>
        <v>0</v>
      </c>
      <c r="E5" s="923" t="s">
        <v>269</v>
      </c>
    </row>
    <row r="6" spans="1:6" ht="12.75" customHeight="1" x14ac:dyDescent="0.2">
      <c r="B6" s="183" t="str">
        <f t="shared" ref="B6:B21" si="1">IF(C6&gt;0,B5+1,"")</f>
        <v/>
      </c>
      <c r="C6" s="497">
        <v>0</v>
      </c>
      <c r="D6" s="190">
        <f t="shared" si="0"/>
        <v>0</v>
      </c>
      <c r="E6" s="923"/>
    </row>
    <row r="7" spans="1:6" ht="12.75" customHeight="1" x14ac:dyDescent="0.2">
      <c r="B7" s="183" t="str">
        <f t="shared" si="1"/>
        <v/>
      </c>
      <c r="C7" s="497">
        <v>0</v>
      </c>
      <c r="D7" s="190">
        <f t="shared" si="0"/>
        <v>0</v>
      </c>
    </row>
    <row r="8" spans="1:6" ht="12.75" customHeight="1" x14ac:dyDescent="0.2">
      <c r="B8" s="183" t="str">
        <f t="shared" si="1"/>
        <v/>
      </c>
      <c r="C8" s="497">
        <v>0</v>
      </c>
      <c r="D8" s="190">
        <f t="shared" si="0"/>
        <v>0</v>
      </c>
    </row>
    <row r="9" spans="1:6" ht="12.75" customHeight="1" x14ac:dyDescent="0.2">
      <c r="B9" s="183" t="str">
        <f t="shared" si="1"/>
        <v/>
      </c>
      <c r="C9" s="497">
        <v>0</v>
      </c>
      <c r="D9" s="190">
        <f t="shared" si="0"/>
        <v>0</v>
      </c>
    </row>
    <row r="10" spans="1:6" ht="12.75" customHeight="1" x14ac:dyDescent="0.2">
      <c r="B10" s="183" t="str">
        <f t="shared" si="1"/>
        <v/>
      </c>
      <c r="C10" s="497">
        <v>0</v>
      </c>
      <c r="D10" s="190">
        <f t="shared" si="0"/>
        <v>0</v>
      </c>
    </row>
    <row r="11" spans="1:6" ht="12.75" customHeight="1" x14ac:dyDescent="0.2">
      <c r="B11" s="183" t="str">
        <f t="shared" si="1"/>
        <v/>
      </c>
      <c r="C11" s="497">
        <v>0</v>
      </c>
      <c r="D11" s="190">
        <f t="shared" si="0"/>
        <v>0</v>
      </c>
    </row>
    <row r="12" spans="1:6" ht="12.75" customHeight="1" x14ac:dyDescent="0.2">
      <c r="B12" s="183" t="str">
        <f t="shared" si="1"/>
        <v/>
      </c>
      <c r="C12" s="497">
        <v>0</v>
      </c>
      <c r="D12" s="190">
        <f t="shared" si="0"/>
        <v>0</v>
      </c>
    </row>
    <row r="13" spans="1:6" ht="12.75" customHeight="1" x14ac:dyDescent="0.2">
      <c r="B13" s="183" t="str">
        <f t="shared" si="1"/>
        <v/>
      </c>
      <c r="C13" s="497">
        <v>0</v>
      </c>
      <c r="D13" s="190">
        <f t="shared" si="0"/>
        <v>0</v>
      </c>
    </row>
    <row r="14" spans="1:6" ht="12.75" customHeight="1" x14ac:dyDescent="0.2">
      <c r="B14" s="183" t="str">
        <f t="shared" si="1"/>
        <v/>
      </c>
      <c r="C14" s="497">
        <v>0</v>
      </c>
      <c r="D14" s="190">
        <f t="shared" si="0"/>
        <v>0</v>
      </c>
    </row>
    <row r="15" spans="1:6" ht="12.75" customHeight="1" x14ac:dyDescent="0.2">
      <c r="B15" s="183" t="str">
        <f t="shared" si="1"/>
        <v/>
      </c>
      <c r="C15" s="497">
        <v>0</v>
      </c>
      <c r="D15" s="190">
        <f t="shared" si="0"/>
        <v>0</v>
      </c>
    </row>
    <row r="16" spans="1:6" ht="12.75" customHeight="1" x14ac:dyDescent="0.2">
      <c r="B16" s="183" t="str">
        <f t="shared" si="1"/>
        <v/>
      </c>
      <c r="C16" s="497">
        <v>0</v>
      </c>
      <c r="D16" s="190">
        <f t="shared" si="0"/>
        <v>0</v>
      </c>
    </row>
    <row r="17" spans="2:4" ht="12.75" customHeight="1" x14ac:dyDescent="0.2">
      <c r="B17" s="183" t="str">
        <f t="shared" si="1"/>
        <v/>
      </c>
      <c r="C17" s="497">
        <v>0</v>
      </c>
      <c r="D17" s="190">
        <f t="shared" si="0"/>
        <v>0</v>
      </c>
    </row>
    <row r="18" spans="2:4" ht="12.75" customHeight="1" x14ac:dyDescent="0.2">
      <c r="B18" s="183" t="str">
        <f t="shared" si="1"/>
        <v/>
      </c>
      <c r="C18" s="497">
        <v>0</v>
      </c>
      <c r="D18" s="190">
        <f t="shared" si="0"/>
        <v>0</v>
      </c>
    </row>
    <row r="19" spans="2:4" ht="12.75" customHeight="1" x14ac:dyDescent="0.2">
      <c r="B19" s="183" t="str">
        <f t="shared" si="1"/>
        <v/>
      </c>
      <c r="C19" s="497">
        <v>0</v>
      </c>
      <c r="D19" s="190">
        <f t="shared" si="0"/>
        <v>0</v>
      </c>
    </row>
    <row r="20" spans="2:4" ht="12.75" customHeight="1" x14ac:dyDescent="0.2">
      <c r="B20" s="183" t="str">
        <f t="shared" si="1"/>
        <v/>
      </c>
      <c r="C20" s="497">
        <v>0</v>
      </c>
      <c r="D20" s="190">
        <f t="shared" si="0"/>
        <v>0</v>
      </c>
    </row>
    <row r="21" spans="2:4" ht="12.75" customHeight="1" x14ac:dyDescent="0.2">
      <c r="B21" s="183" t="str">
        <f t="shared" si="1"/>
        <v/>
      </c>
      <c r="C21" s="497">
        <v>0</v>
      </c>
      <c r="D21" s="190">
        <f t="shared" si="0"/>
        <v>0</v>
      </c>
    </row>
    <row r="22" spans="2:4" ht="12.75" customHeight="1" thickBot="1" x14ac:dyDescent="0.25">
      <c r="B22" s="184" t="str">
        <f>IF(C22&gt;0,B21+1,"")</f>
        <v/>
      </c>
      <c r="C22" s="498">
        <v>0</v>
      </c>
      <c r="D22" s="191">
        <f t="shared" si="0"/>
        <v>0</v>
      </c>
    </row>
    <row r="23" spans="2:4" ht="15.75" x14ac:dyDescent="0.25">
      <c r="B23" s="180" t="s">
        <v>105</v>
      </c>
      <c r="C23" s="185">
        <f>SUM(C4:C22)</f>
        <v>0</v>
      </c>
      <c r="D23" s="186">
        <f>SUM(D4:D22)</f>
        <v>0</v>
      </c>
    </row>
    <row r="24" spans="2:4" x14ac:dyDescent="0.2"/>
  </sheetData>
  <sheetProtection password="83CC" sheet="1" formatColumns="0" formatRows="0" insertRows="0"/>
  <mergeCells count="2">
    <mergeCell ref="B2:D2"/>
    <mergeCell ref="E5:E6"/>
  </mergeCells>
  <hyperlinks>
    <hyperlink ref="E5:E6" location="'Procedura guidata'!A1" display="Torna alla procedura guidata!" xr:uid="{00000000-0004-0000-0900-000000000000}"/>
  </hyperlinks>
  <printOptions horizontalCentered="1"/>
  <pageMargins left="0.70866141732283472" right="0.70866141732283472" top="1.3130314960629921" bottom="0.74803149606299213" header="0.31496062992125984" footer="0.31496062992125984"/>
  <pageSetup paperSize="9" scale="95" orientation="portrait"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66"/>
  </sheetPr>
  <dimension ref="A1:I38"/>
  <sheetViews>
    <sheetView showGridLines="0" showZeros="0" workbookViewId="0"/>
  </sheetViews>
  <sheetFormatPr defaultColWidth="0" defaultRowHeight="12.75" zeroHeight="1" x14ac:dyDescent="0.2"/>
  <cols>
    <col min="1" max="1" width="5.7109375" customWidth="1"/>
    <col min="2" max="2" width="31.85546875" bestFit="1" customWidth="1"/>
    <col min="3" max="3" width="11.7109375" customWidth="1"/>
    <col min="4" max="7" width="13.42578125" customWidth="1"/>
    <col min="8" max="8" width="2" customWidth="1"/>
    <col min="9" max="9" width="18.7109375" customWidth="1"/>
    <col min="10" max="16384" width="9.140625" hidden="1"/>
  </cols>
  <sheetData>
    <row r="1" spans="2:9" x14ac:dyDescent="0.2"/>
    <row r="2" spans="2:9" ht="15.75" x14ac:dyDescent="0.2">
      <c r="B2" s="1064" t="s">
        <v>308</v>
      </c>
      <c r="C2" s="1064"/>
      <c r="D2" s="1064"/>
      <c r="E2" s="1064"/>
      <c r="F2" s="1064"/>
      <c r="G2" s="1064"/>
      <c r="H2" s="1064"/>
    </row>
    <row r="3" spans="2:9" ht="12.75" customHeight="1" thickBot="1" x14ac:dyDescent="0.25">
      <c r="B3" s="570"/>
      <c r="C3" s="570"/>
      <c r="D3" s="570"/>
      <c r="E3" s="570"/>
      <c r="F3" s="570"/>
    </row>
    <row r="4" spans="2:9" ht="15" customHeight="1" x14ac:dyDescent="0.2">
      <c r="B4" s="1065" t="s">
        <v>315</v>
      </c>
      <c r="C4" s="1066"/>
      <c r="D4" s="1066"/>
      <c r="E4" s="1066"/>
      <c r="F4" s="1066"/>
      <c r="G4" s="1066"/>
      <c r="H4" s="1067"/>
    </row>
    <row r="5" spans="2:9" ht="12.75" customHeight="1" x14ac:dyDescent="0.2">
      <c r="B5" s="860" t="s">
        <v>327</v>
      </c>
      <c r="C5" s="861"/>
      <c r="D5" s="861"/>
      <c r="E5" s="861"/>
      <c r="F5" s="862"/>
      <c r="G5" s="586"/>
      <c r="H5" s="44"/>
      <c r="I5" s="28"/>
    </row>
    <row r="6" spans="2:9" ht="12.75" customHeight="1" x14ac:dyDescent="0.2">
      <c r="B6" s="873" t="s">
        <v>313</v>
      </c>
      <c r="C6" s="874"/>
      <c r="D6" s="874"/>
      <c r="E6" s="874"/>
      <c r="F6" s="875"/>
      <c r="G6" s="576">
        <v>2.5000000000000001E-2</v>
      </c>
      <c r="H6" s="44"/>
    </row>
    <row r="7" spans="2:9" ht="12.75" customHeight="1" thickBot="1" x14ac:dyDescent="0.25">
      <c r="B7" s="571"/>
      <c r="C7" s="71"/>
      <c r="D7" s="71"/>
      <c r="E7" s="568"/>
      <c r="F7" s="71"/>
      <c r="G7" s="575"/>
      <c r="H7" s="56"/>
    </row>
    <row r="8" spans="2:9" ht="13.5" thickBot="1" x14ac:dyDescent="0.25"/>
    <row r="9" spans="2:9" ht="15" customHeight="1" x14ac:dyDescent="0.2">
      <c r="B9" s="1065" t="s">
        <v>314</v>
      </c>
      <c r="C9" s="1066"/>
      <c r="D9" s="1066"/>
      <c r="E9" s="1066"/>
      <c r="F9" s="1066"/>
      <c r="G9" s="1066"/>
      <c r="H9" s="1067"/>
      <c r="I9" s="1055" t="s">
        <v>269</v>
      </c>
    </row>
    <row r="10" spans="2:9" ht="12.75" customHeight="1" x14ac:dyDescent="0.2">
      <c r="B10" s="72"/>
      <c r="D10" s="41" t="s">
        <v>309</v>
      </c>
      <c r="E10" s="569"/>
      <c r="F10" s="41"/>
      <c r="H10" s="44"/>
      <c r="I10" s="1055"/>
    </row>
    <row r="11" spans="2:9" ht="12.75" customHeight="1" x14ac:dyDescent="0.2">
      <c r="B11" s="1056" t="s">
        <v>78</v>
      </c>
      <c r="C11" s="1057"/>
      <c r="D11" s="577">
        <f ca="1">Riepilogo_CostoCostruzione_totale*0.25</f>
        <v>0</v>
      </c>
      <c r="E11" s="1060"/>
      <c r="F11" s="1061"/>
      <c r="G11" s="1061"/>
      <c r="H11" s="44"/>
    </row>
    <row r="12" spans="2:9" ht="12.75" customHeight="1" x14ac:dyDescent="0.2">
      <c r="B12" s="1058" t="s">
        <v>84</v>
      </c>
      <c r="C12" s="1059"/>
      <c r="D12" s="578">
        <f>Riepilogo_Cc_OneriSmaltRifiutiRif*0.25</f>
        <v>0</v>
      </c>
      <c r="E12" s="1062"/>
      <c r="F12" s="1063"/>
      <c r="G12" s="1063"/>
      <c r="H12" s="44"/>
    </row>
    <row r="13" spans="2:9" ht="12.75" customHeight="1" x14ac:dyDescent="0.2">
      <c r="B13" s="1058" t="s">
        <v>202</v>
      </c>
      <c r="C13" s="1059"/>
      <c r="D13" s="574">
        <f>Riepilogo_OneriUrbPrim*0.25</f>
        <v>0</v>
      </c>
      <c r="E13" s="1062"/>
      <c r="F13" s="1063"/>
      <c r="G13" s="1063"/>
      <c r="H13" s="44"/>
    </row>
    <row r="14" spans="2:9" ht="12.75" customHeight="1" x14ac:dyDescent="0.2">
      <c r="B14" s="1058" t="s">
        <v>203</v>
      </c>
      <c r="C14" s="1059"/>
      <c r="D14" s="587">
        <f>Riepilogo_OneriSecPrim*0.25</f>
        <v>0</v>
      </c>
      <c r="E14" s="1062"/>
      <c r="F14" s="1063"/>
      <c r="G14" s="1063"/>
      <c r="H14" s="44"/>
    </row>
    <row r="15" spans="2:9" ht="12.75" customHeight="1" thickBot="1" x14ac:dyDescent="0.25">
      <c r="B15" s="588"/>
      <c r="C15" s="572"/>
      <c r="D15" s="589"/>
      <c r="E15" s="572"/>
      <c r="F15" s="590"/>
      <c r="G15" s="572"/>
      <c r="H15" s="56"/>
    </row>
    <row r="16" spans="2:9" ht="15" customHeight="1" x14ac:dyDescent="0.25">
      <c r="B16" s="1069" t="s">
        <v>105</v>
      </c>
      <c r="C16" s="1070"/>
      <c r="D16" s="592">
        <f ca="1">Rateizzazione_1RataCC+Rateizzazione_1RataSR+Rateizzazione_1RataOnPrim+Rateizzazione_1RataOnSec</f>
        <v>0</v>
      </c>
    </row>
    <row r="17" spans="2:8" ht="6" customHeight="1" x14ac:dyDescent="0.2">
      <c r="B17" s="573"/>
      <c r="D17" s="582"/>
    </row>
    <row r="18" spans="2:8" ht="15" customHeight="1" x14ac:dyDescent="0.25">
      <c r="B18" s="1071" t="s">
        <v>316</v>
      </c>
      <c r="C18" s="1071"/>
      <c r="D18" s="595">
        <f>IF(Rateizzazione_DataProtocollo&gt; 1/1/1990,Rateizzazione_DataProtocollo+30,0)</f>
        <v>0</v>
      </c>
    </row>
    <row r="19" spans="2:8" ht="12.75" customHeight="1" thickBot="1" x14ac:dyDescent="0.25">
      <c r="B19" s="573"/>
      <c r="D19" s="583"/>
    </row>
    <row r="20" spans="2:8" ht="15" customHeight="1" x14ac:dyDescent="0.2">
      <c r="B20" s="1065" t="s">
        <v>307</v>
      </c>
      <c r="C20" s="1066"/>
      <c r="D20" s="1066"/>
      <c r="E20" s="1066"/>
      <c r="F20" s="1066"/>
      <c r="G20" s="1066"/>
      <c r="H20" s="1067"/>
    </row>
    <row r="21" spans="2:8" ht="12.75" customHeight="1" x14ac:dyDescent="0.2">
      <c r="B21" s="72"/>
      <c r="E21" s="41" t="s">
        <v>310</v>
      </c>
      <c r="F21" s="41" t="s">
        <v>311</v>
      </c>
      <c r="G21" s="41" t="s">
        <v>312</v>
      </c>
      <c r="H21" s="44"/>
    </row>
    <row r="22" spans="2:8" ht="12.75" customHeight="1" x14ac:dyDescent="0.2">
      <c r="B22" s="1056" t="s">
        <v>78</v>
      </c>
      <c r="C22" s="1073"/>
      <c r="D22" s="1057"/>
      <c r="E22" s="579">
        <f ca="1">Riepilogo_CostoCostruzione_totale*0.25</f>
        <v>0</v>
      </c>
      <c r="F22" s="579">
        <f ca="1">Riepilogo_CostoCostruzione_totale*0.25</f>
        <v>0</v>
      </c>
      <c r="G22" s="578">
        <f ca="1">Riepilogo_CostoCostruzione_totale*0.25</f>
        <v>0</v>
      </c>
      <c r="H22" s="44"/>
    </row>
    <row r="23" spans="2:8" ht="12.75" customHeight="1" x14ac:dyDescent="0.2">
      <c r="B23" s="1058" t="s">
        <v>84</v>
      </c>
      <c r="C23" s="1072"/>
      <c r="D23" s="1059"/>
      <c r="E23" s="580">
        <f>((Riepilogo_Cc_OneriSmaltRifiutiRif*0.25)+(((Riepilogo_Cc_OneriSmaltRifiutiRif-Rateizzazione_1RataSR)*Rateizzazione_InteresseLegale*180)/(365))/3)</f>
        <v>0</v>
      </c>
      <c r="F23" s="578">
        <f>((Riepilogo_Cc_OneriSmaltRifiutiRif*0.25)+(((Riepilogo_Cc_OneriSmaltRifiutiRif-(Rateizzazione_1RataSR*2))*Rateizzazione_InteresseLegale*360)/(365))/2)</f>
        <v>0</v>
      </c>
      <c r="G23" s="581">
        <f>((Riepilogo_Cc_OneriSmaltRifiutiRif*0.25)+(((Riepilogo_Cc_OneriSmaltRifiutiRif-(Rateizzazione_1RataSR*3))*Rateizzazione_InteresseLegale*540)/(365)))</f>
        <v>0</v>
      </c>
      <c r="H23" s="44"/>
    </row>
    <row r="24" spans="2:8" ht="12.75" customHeight="1" x14ac:dyDescent="0.2">
      <c r="B24" s="1058" t="s">
        <v>202</v>
      </c>
      <c r="C24" s="1072"/>
      <c r="D24" s="1059"/>
      <c r="E24" s="580">
        <f>((Riepilogo_OneriUrbPrim*0.25)+(((Riepilogo_OneriUrbPrim-Rateizzazione_1RataOnPrim)*Rateizzazione_InteresseLegale*180)/(365))/3)</f>
        <v>0</v>
      </c>
      <c r="F24" s="578">
        <f>((Riepilogo_OneriUrbPrim*0.25)+(((Riepilogo_OneriUrbPrim-(Rateizzazione_1RataOnPrim*2))*Rateizzazione_InteresseLegale*360)/(365))/2)</f>
        <v>0</v>
      </c>
      <c r="G24" s="581">
        <f>((Riepilogo_OneriUrbPrim*0.25)+(((Riepilogo_OneriUrbPrim-(Rateizzazione_1RataOnPrim*3))*Rateizzazione_InteresseLegale*540)/(365)))</f>
        <v>0</v>
      </c>
      <c r="H24" s="44"/>
    </row>
    <row r="25" spans="2:8" ht="12.75" customHeight="1" x14ac:dyDescent="0.2">
      <c r="B25" s="1058" t="s">
        <v>203</v>
      </c>
      <c r="C25" s="1072"/>
      <c r="D25" s="1059"/>
      <c r="E25" s="580">
        <f>((Riepilogo_OneriSecPrim*0.25)+(((Riepilogo_OneriSecPrim-Rateizzazione_1RataOnSec)*Rateizzazione_InteresseLegale*180)/(365))/3)</f>
        <v>0</v>
      </c>
      <c r="F25" s="578">
        <f>((Riepilogo_OneriSecPrim*0.25)+(((Riepilogo_OneriSecPrim-(Rateizzazione_1RataOnSec*2))*Rateizzazione_InteresseLegale*360)/(365))/2)</f>
        <v>0</v>
      </c>
      <c r="G25" s="581">
        <f>((Riepilogo_OneriSecPrim*0.25)+(((Riepilogo_OneriSecPrim-(Rateizzazione_1RataOnSec*3))*Rateizzazione_InteresseLegale*540)/(365)))</f>
        <v>0</v>
      </c>
      <c r="H25" s="44"/>
    </row>
    <row r="26" spans="2:8" ht="12.75" customHeight="1" thickBot="1" x14ac:dyDescent="0.25">
      <c r="B26" s="567"/>
      <c r="C26" s="71"/>
      <c r="D26" s="71"/>
      <c r="E26" s="591"/>
      <c r="F26" s="591"/>
      <c r="G26" s="591"/>
      <c r="H26" s="56"/>
    </row>
    <row r="27" spans="2:8" ht="15" customHeight="1" x14ac:dyDescent="0.25">
      <c r="B27" s="1069" t="s">
        <v>105</v>
      </c>
      <c r="C27" s="1069"/>
      <c r="D27" s="1070"/>
      <c r="E27" s="593">
        <f ca="1">Rateizzazione_2RataCC+Rateizzazione_2RataSR+Rateizzazione_2RataOnPrim+Rateizzazione_2RataOnSec</f>
        <v>0</v>
      </c>
      <c r="F27" s="592">
        <f ca="1">Rateizzazione_3RataCC+Rateizzazione_3RataSR+Rateizzazione_3RataOnPrim+Rateizzazione_3RataOnSec</f>
        <v>0</v>
      </c>
      <c r="G27" s="594">
        <f ca="1">Rateizzazione_4RataCC+Rateizzazione_4RataSR+Rateizzazione_4RataOnPrim+Rateizzazione_4RataOnSec</f>
        <v>0</v>
      </c>
    </row>
    <row r="28" spans="2:8" ht="6" customHeight="1" x14ac:dyDescent="0.2">
      <c r="B28" s="573"/>
    </row>
    <row r="29" spans="2:8" ht="15" customHeight="1" x14ac:dyDescent="0.25">
      <c r="B29" s="1071" t="s">
        <v>316</v>
      </c>
      <c r="C29" s="1071"/>
      <c r="D29" s="1071"/>
      <c r="E29" s="595">
        <f>IF(Rateizzazione_DataProtocollo&gt; 1/1/1990,Rateizzazione_DataProtocollo+180,0)</f>
        <v>0</v>
      </c>
      <c r="F29" s="595">
        <f>IF(Rateizzazione_DataProtocollo&gt; 1/1/1990,Rateizzazione_DataProtocollo+360,0)</f>
        <v>0</v>
      </c>
      <c r="G29" s="596">
        <f>IF(Rateizzazione_DataProtocollo&gt; 1/1/1990,Rateizzazione_DataProtocollo+540,0)</f>
        <v>0</v>
      </c>
    </row>
    <row r="30" spans="2:8" ht="12.75" customHeight="1" thickBot="1" x14ac:dyDescent="0.25">
      <c r="B30" s="584"/>
    </row>
    <row r="31" spans="2:8" ht="15" customHeight="1" x14ac:dyDescent="0.2">
      <c r="B31" s="1065" t="s">
        <v>318</v>
      </c>
      <c r="C31" s="1066"/>
      <c r="D31" s="1066"/>
      <c r="E31" s="1066"/>
      <c r="F31" s="1066"/>
      <c r="G31" s="1066"/>
      <c r="H31" s="1067"/>
    </row>
    <row r="32" spans="2:8" ht="12.75" customHeight="1" x14ac:dyDescent="0.2">
      <c r="B32" s="860" t="s">
        <v>319</v>
      </c>
      <c r="C32" s="861"/>
      <c r="D32" s="861"/>
      <c r="E32" s="861"/>
      <c r="F32" s="862"/>
      <c r="G32" s="585">
        <f ca="1">Rateizzazione_Totale2Rata+Rateizzazione_Totale3Rata+Rateizzazione_Totale4Rata</f>
        <v>0</v>
      </c>
      <c r="H32" s="44"/>
    </row>
    <row r="33" spans="2:8" ht="12.75" customHeight="1" x14ac:dyDescent="0.2">
      <c r="B33" s="873" t="s">
        <v>317</v>
      </c>
      <c r="C33" s="874"/>
      <c r="D33" s="874"/>
      <c r="E33" s="874"/>
      <c r="F33" s="875"/>
      <c r="G33" s="578">
        <f ca="1">(Rateizzazione_Totale2Rata+Rateizzazione_Totale3Rata+Rateizzazione_Totale4Rata)*0.4</f>
        <v>0</v>
      </c>
      <c r="H33" s="44"/>
    </row>
    <row r="34" spans="2:8" ht="12.75" customHeight="1" thickBot="1" x14ac:dyDescent="0.25">
      <c r="B34" s="571"/>
      <c r="C34" s="71"/>
      <c r="D34" s="71"/>
      <c r="E34" s="568"/>
      <c r="F34" s="71"/>
      <c r="G34" s="575"/>
      <c r="H34" s="56"/>
    </row>
    <row r="35" spans="2:8" ht="15" customHeight="1" x14ac:dyDescent="0.25">
      <c r="B35" s="1069" t="s">
        <v>320</v>
      </c>
      <c r="C35" s="1069"/>
      <c r="D35" s="1069"/>
      <c r="E35" s="1069"/>
      <c r="F35" s="1070"/>
      <c r="G35" s="592">
        <f ca="1">Rateizzazione_TotaleRate+Rateizzazione_Sanzioni</f>
        <v>0</v>
      </c>
    </row>
    <row r="36" spans="2:8" ht="6" customHeight="1" x14ac:dyDescent="0.2"/>
    <row r="37" spans="2:8" ht="15" customHeight="1" x14ac:dyDescent="0.25">
      <c r="B37" s="1068" t="s">
        <v>321</v>
      </c>
      <c r="C37" s="1068"/>
      <c r="D37" s="1068"/>
      <c r="E37" s="1068"/>
      <c r="F37" s="1068"/>
      <c r="G37" s="595">
        <f>IF(Rateizzazione_DataProtocollo&gt; 1/1/1990,Rateizzazione_Scadenza4Rata+540,0)</f>
        <v>0</v>
      </c>
    </row>
    <row r="38" spans="2:8" x14ac:dyDescent="0.2"/>
  </sheetData>
  <sheetProtection password="83CC" sheet="1" objects="1" scenarios="1"/>
  <mergeCells count="28">
    <mergeCell ref="B37:F37"/>
    <mergeCell ref="B27:D27"/>
    <mergeCell ref="B29:D29"/>
    <mergeCell ref="B35:F35"/>
    <mergeCell ref="B16:C16"/>
    <mergeCell ref="B18:C18"/>
    <mergeCell ref="B25:D25"/>
    <mergeCell ref="B31:H31"/>
    <mergeCell ref="B32:F32"/>
    <mergeCell ref="B33:F33"/>
    <mergeCell ref="B22:D22"/>
    <mergeCell ref="B20:H20"/>
    <mergeCell ref="B23:D23"/>
    <mergeCell ref="B24:D24"/>
    <mergeCell ref="B2:H2"/>
    <mergeCell ref="B4:H4"/>
    <mergeCell ref="B5:F5"/>
    <mergeCell ref="B6:F6"/>
    <mergeCell ref="B9:H9"/>
    <mergeCell ref="I9:I10"/>
    <mergeCell ref="B11:C11"/>
    <mergeCell ref="B12:C12"/>
    <mergeCell ref="B13:C13"/>
    <mergeCell ref="B14:C14"/>
    <mergeCell ref="E11:G11"/>
    <mergeCell ref="E12:G12"/>
    <mergeCell ref="E13:G13"/>
    <mergeCell ref="E14:G14"/>
  </mergeCells>
  <hyperlinks>
    <hyperlink ref="I9:I10" location="'Procedura guidata'!A1" display="Torna alla procedura guidata!" xr:uid="{00000000-0004-0000-0A00-000000000000}"/>
  </hyperlinks>
  <pageMargins left="0.7" right="0.7" top="0.75" bottom="0.75" header="0.3" footer="0.3"/>
  <pageSetup paperSize="9" orientation="portrait" horizontalDpi="300" verticalDpi="300" r:id="rId1"/>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66"/>
  </sheetPr>
  <dimension ref="A1:AD199"/>
  <sheetViews>
    <sheetView showGridLines="0" topLeftCell="A71" workbookViewId="0">
      <selection activeCell="H90" sqref="H90"/>
    </sheetView>
  </sheetViews>
  <sheetFormatPr defaultColWidth="0" defaultRowHeight="12.75" zeroHeight="1" x14ac:dyDescent="0.2"/>
  <cols>
    <col min="1" max="1" width="17" customWidth="1"/>
    <col min="2" max="2" width="9.5703125" customWidth="1"/>
    <col min="3" max="3" width="10.7109375" customWidth="1"/>
    <col min="4" max="4" width="12.7109375" customWidth="1"/>
    <col min="5" max="5" width="10.7109375" customWidth="1"/>
    <col min="6" max="6" width="12.7109375" customWidth="1"/>
    <col min="7" max="7" width="10.7109375" customWidth="1"/>
    <col min="8" max="8" width="12.7109375" customWidth="1"/>
    <col min="9" max="9" width="10.7109375" customWidth="1"/>
    <col min="10" max="10" width="12.7109375" customWidth="1"/>
    <col min="11" max="11" width="10.7109375" customWidth="1"/>
    <col min="12" max="12" width="12.7109375" customWidth="1"/>
    <col min="13" max="13" width="10.7109375" customWidth="1"/>
    <col min="14" max="14" width="15.7109375" customWidth="1"/>
    <col min="15" max="15" width="10.7109375" customWidth="1"/>
    <col min="16" max="16" width="18.7109375" customWidth="1"/>
    <col min="17" max="17" width="10.7109375" customWidth="1"/>
    <col min="18" max="18" width="12.7109375" customWidth="1"/>
    <col min="19" max="19" width="10.7109375" customWidth="1"/>
    <col min="20" max="20" width="12.7109375" customWidth="1"/>
    <col min="21" max="30" width="14.7109375" customWidth="1"/>
    <col min="31" max="31" width="9.140625" customWidth="1"/>
  </cols>
  <sheetData>
    <row r="1" spans="1:30" x14ac:dyDescent="0.2"/>
    <row r="2" spans="1:30" ht="21.75" customHeight="1" x14ac:dyDescent="0.2">
      <c r="A2" s="193"/>
      <c r="B2" s="33"/>
      <c r="C2" s="1085" t="str">
        <f>Parametri_DestUsoPersonalizzazione1</f>
        <v>Residenziale</v>
      </c>
      <c r="D2" s="1086"/>
      <c r="E2" s="1087" t="s">
        <v>141</v>
      </c>
      <c r="F2" s="1088"/>
      <c r="G2" s="1085" t="str">
        <f>Parametri_DestUsoPersonalizzazione2</f>
        <v>Commerciale direzionale</v>
      </c>
      <c r="H2" s="1086"/>
      <c r="I2" s="1085" t="str">
        <f>Parametri_DestUsoPersonalizzazione3</f>
        <v>attività artigianale</v>
      </c>
      <c r="J2" s="1086"/>
      <c r="K2" s="1085" t="str">
        <f>Parametri_DestUsoPersonalizzazione4</f>
        <v xml:space="preserve">Industriale alberghiera </v>
      </c>
      <c r="L2" s="1086"/>
      <c r="M2" s="1083" t="str">
        <f>Parametri_DestUsoPersonalizzazione5</f>
        <v>Parcheggi, silos (posto auto)</v>
      </c>
      <c r="N2" s="1084"/>
      <c r="O2" s="1083" t="str">
        <f>Parametri_DestUsoPersonalizzazione6</f>
        <v>Attrezzature culturali e sanitarie</v>
      </c>
      <c r="P2" s="1084"/>
      <c r="Q2" s="1083" t="str">
        <f>Parametri_DestUsoPersonalizzazione7</f>
        <v>Attrezzature sportive</v>
      </c>
      <c r="R2" s="1084"/>
      <c r="S2" s="1083" t="str">
        <f>Parametri_DestUsoPersonalizzazione8</f>
        <v>Attrezzature spettacolo</v>
      </c>
      <c r="T2" s="1084"/>
      <c r="U2" s="1083" t="str">
        <f>Parametri_DestUsoPersonalizzazione9</f>
        <v>attività industriale</v>
      </c>
      <c r="V2" s="1084"/>
      <c r="W2" s="1085" t="str">
        <f>Parametri_DestUsoPersonalizzazione10</f>
        <v>Destinazione ulteriore 2</v>
      </c>
      <c r="X2" s="1086"/>
      <c r="Y2" s="1083" t="str">
        <f>Parametri_DestUsoPersonalizzazione11</f>
        <v>Destinazione ulteriore 3</v>
      </c>
      <c r="Z2" s="1084"/>
      <c r="AA2" s="1083" t="str">
        <f>Parametri_DestUsoPersonalizzazione12</f>
        <v>Destinazione ulteriore 4</v>
      </c>
      <c r="AB2" s="1084"/>
      <c r="AC2" s="1083" t="str">
        <f>Parametri_DestUsoPersonalizzazione13</f>
        <v>Destinazione ulteriore 5</v>
      </c>
      <c r="AD2" s="1084"/>
    </row>
    <row r="3" spans="1:30" ht="22.5" x14ac:dyDescent="0.2">
      <c r="A3" s="34"/>
      <c r="B3" s="194" t="s">
        <v>161</v>
      </c>
      <c r="C3" s="195" t="s">
        <v>5</v>
      </c>
      <c r="D3" s="196" t="s">
        <v>0</v>
      </c>
      <c r="E3" s="195" t="s">
        <v>5</v>
      </c>
      <c r="F3" s="196" t="s">
        <v>0</v>
      </c>
      <c r="G3" s="195" t="s">
        <v>5</v>
      </c>
      <c r="H3" s="196" t="s">
        <v>0</v>
      </c>
      <c r="I3" s="195" t="s">
        <v>5</v>
      </c>
      <c r="J3" s="196" t="s">
        <v>0</v>
      </c>
      <c r="K3" s="195" t="s">
        <v>5</v>
      </c>
      <c r="L3" s="197" t="s">
        <v>0</v>
      </c>
      <c r="M3" s="195" t="s">
        <v>5</v>
      </c>
      <c r="N3" s="197" t="s">
        <v>0</v>
      </c>
      <c r="O3" s="195" t="s">
        <v>5</v>
      </c>
      <c r="P3" s="197" t="s">
        <v>0</v>
      </c>
      <c r="Q3" s="195" t="s">
        <v>5</v>
      </c>
      <c r="R3" s="196" t="s">
        <v>0</v>
      </c>
      <c r="S3" s="195" t="s">
        <v>5</v>
      </c>
      <c r="T3" s="196" t="s">
        <v>0</v>
      </c>
      <c r="U3" s="195" t="s">
        <v>5</v>
      </c>
      <c r="V3" s="196" t="s">
        <v>0</v>
      </c>
      <c r="W3" s="195" t="s">
        <v>5</v>
      </c>
      <c r="X3" s="196" t="s">
        <v>0</v>
      </c>
      <c r="Y3" s="195" t="s">
        <v>5</v>
      </c>
      <c r="Z3" s="196" t="s">
        <v>0</v>
      </c>
      <c r="AA3" s="195" t="s">
        <v>5</v>
      </c>
      <c r="AB3" s="196" t="s">
        <v>0</v>
      </c>
      <c r="AC3" s="195" t="s">
        <v>5</v>
      </c>
      <c r="AD3" s="196" t="s">
        <v>0</v>
      </c>
    </row>
    <row r="4" spans="1:30" x14ac:dyDescent="0.2">
      <c r="A4" s="192" t="s">
        <v>239</v>
      </c>
      <c r="B4" s="1074" t="str">
        <f>IF(Zona1&lt;&gt;"",Zona1,"")</f>
        <v>A</v>
      </c>
      <c r="C4" s="499">
        <v>4.3600000000000003</v>
      </c>
      <c r="D4" s="500">
        <v>2.42</v>
      </c>
      <c r="E4" s="499">
        <v>0</v>
      </c>
      <c r="F4" s="500">
        <v>0</v>
      </c>
      <c r="G4" s="499">
        <v>68.75</v>
      </c>
      <c r="H4" s="500">
        <v>34.380000000000003</v>
      </c>
      <c r="I4" s="499">
        <v>16.809999999999999</v>
      </c>
      <c r="J4" s="500">
        <v>8.4</v>
      </c>
      <c r="K4" s="499">
        <v>61.12</v>
      </c>
      <c r="L4" s="500">
        <v>30.56</v>
      </c>
      <c r="M4" s="499">
        <v>132.62</v>
      </c>
      <c r="N4" s="500">
        <v>0</v>
      </c>
      <c r="O4" s="499">
        <v>15.28</v>
      </c>
      <c r="P4" s="500">
        <v>0</v>
      </c>
      <c r="Q4" s="499">
        <v>6.88</v>
      </c>
      <c r="R4" s="500">
        <v>0</v>
      </c>
      <c r="S4" s="499">
        <v>19.87</v>
      </c>
      <c r="T4" s="500">
        <v>0</v>
      </c>
      <c r="U4" s="499">
        <v>19.09</v>
      </c>
      <c r="V4" s="500">
        <v>9.5500000000000007</v>
      </c>
      <c r="W4" s="499">
        <v>0</v>
      </c>
      <c r="X4" s="500">
        <v>0</v>
      </c>
      <c r="Y4" s="499">
        <v>0</v>
      </c>
      <c r="Z4" s="500">
        <v>0</v>
      </c>
      <c r="AA4" s="499">
        <v>0</v>
      </c>
      <c r="AB4" s="500">
        <v>0</v>
      </c>
      <c r="AC4" s="499">
        <v>0</v>
      </c>
      <c r="AD4" s="500">
        <v>0</v>
      </c>
    </row>
    <row r="5" spans="1:30" x14ac:dyDescent="0.2">
      <c r="A5" s="192" t="s">
        <v>240</v>
      </c>
      <c r="B5" s="1075"/>
      <c r="C5" s="501">
        <v>9.66</v>
      </c>
      <c r="D5" s="502">
        <v>4.83</v>
      </c>
      <c r="E5" s="501">
        <v>0</v>
      </c>
      <c r="F5" s="502">
        <v>0</v>
      </c>
      <c r="G5" s="501">
        <v>45.83</v>
      </c>
      <c r="H5" s="502">
        <v>22.92</v>
      </c>
      <c r="I5" s="501">
        <v>15.28</v>
      </c>
      <c r="J5" s="502">
        <v>7.64</v>
      </c>
      <c r="K5" s="501">
        <v>53.47</v>
      </c>
      <c r="L5" s="502">
        <v>26.73</v>
      </c>
      <c r="M5" s="501">
        <v>62.04</v>
      </c>
      <c r="N5" s="502">
        <v>0</v>
      </c>
      <c r="O5" s="501">
        <v>4.58</v>
      </c>
      <c r="P5" s="502">
        <v>0</v>
      </c>
      <c r="Q5" s="501">
        <v>2.2999999999999998</v>
      </c>
      <c r="R5" s="502">
        <v>0</v>
      </c>
      <c r="S5" s="501">
        <v>6.88</v>
      </c>
      <c r="T5" s="502">
        <v>0</v>
      </c>
      <c r="U5" s="501">
        <v>17.57</v>
      </c>
      <c r="V5" s="502">
        <v>8.7899999999999991</v>
      </c>
      <c r="W5" s="501">
        <v>0</v>
      </c>
      <c r="X5" s="502">
        <v>0</v>
      </c>
      <c r="Y5" s="501">
        <v>0</v>
      </c>
      <c r="Z5" s="502">
        <v>0</v>
      </c>
      <c r="AA5" s="501">
        <v>0</v>
      </c>
      <c r="AB5" s="502">
        <v>0</v>
      </c>
      <c r="AC5" s="501">
        <v>0</v>
      </c>
      <c r="AD5" s="502">
        <v>0</v>
      </c>
    </row>
    <row r="6" spans="1:30" x14ac:dyDescent="0.2">
      <c r="A6" s="192" t="s">
        <v>84</v>
      </c>
      <c r="B6" s="1076"/>
      <c r="C6" s="501">
        <v>0</v>
      </c>
      <c r="D6" s="502">
        <v>0</v>
      </c>
      <c r="E6" s="501">
        <v>0</v>
      </c>
      <c r="F6" s="502">
        <v>0</v>
      </c>
      <c r="G6" s="501">
        <v>0</v>
      </c>
      <c r="H6" s="502">
        <v>0</v>
      </c>
      <c r="I6" s="501">
        <v>6.11</v>
      </c>
      <c r="J6" s="502">
        <v>3.05</v>
      </c>
      <c r="K6" s="501">
        <v>0</v>
      </c>
      <c r="L6" s="502">
        <v>0</v>
      </c>
      <c r="M6" s="501">
        <v>0</v>
      </c>
      <c r="N6" s="502">
        <v>0</v>
      </c>
      <c r="O6" s="501">
        <v>0</v>
      </c>
      <c r="P6" s="502">
        <v>0</v>
      </c>
      <c r="Q6" s="501">
        <v>0</v>
      </c>
      <c r="R6" s="502">
        <v>0</v>
      </c>
      <c r="S6" s="501">
        <v>0</v>
      </c>
      <c r="T6" s="502">
        <v>0</v>
      </c>
      <c r="U6" s="501">
        <v>6.11</v>
      </c>
      <c r="V6" s="502">
        <v>3.05</v>
      </c>
      <c r="W6" s="501">
        <v>0</v>
      </c>
      <c r="X6" s="502">
        <v>0</v>
      </c>
      <c r="Y6" s="501">
        <v>0</v>
      </c>
      <c r="Z6" s="502">
        <v>0</v>
      </c>
      <c r="AA6" s="501">
        <v>0</v>
      </c>
      <c r="AB6" s="502">
        <v>0</v>
      </c>
      <c r="AC6" s="501">
        <v>0</v>
      </c>
      <c r="AD6" s="502">
        <v>0</v>
      </c>
    </row>
    <row r="7" spans="1:30" x14ac:dyDescent="0.2">
      <c r="A7" s="192" t="s">
        <v>239</v>
      </c>
      <c r="B7" s="1074" t="str">
        <f>IF(Zona2&lt;&gt;"",Zona2,"")</f>
        <v>B</v>
      </c>
      <c r="C7" s="499">
        <v>7.64</v>
      </c>
      <c r="D7" s="500">
        <v>3.82</v>
      </c>
      <c r="E7" s="499">
        <v>0</v>
      </c>
      <c r="F7" s="500">
        <v>0</v>
      </c>
      <c r="G7" s="499">
        <v>68.75</v>
      </c>
      <c r="H7" s="500">
        <v>34.380000000000003</v>
      </c>
      <c r="I7" s="499">
        <v>16.809999999999999</v>
      </c>
      <c r="J7" s="500">
        <v>8.4</v>
      </c>
      <c r="K7" s="499">
        <v>61.12</v>
      </c>
      <c r="L7" s="500">
        <v>30.56</v>
      </c>
      <c r="M7" s="499">
        <v>132.62</v>
      </c>
      <c r="N7" s="500">
        <v>0</v>
      </c>
      <c r="O7" s="499">
        <v>15.28</v>
      </c>
      <c r="P7" s="500">
        <v>0</v>
      </c>
      <c r="Q7" s="499">
        <v>6.88</v>
      </c>
      <c r="R7" s="500">
        <v>0</v>
      </c>
      <c r="S7" s="499">
        <v>19.87</v>
      </c>
      <c r="T7" s="500">
        <v>0</v>
      </c>
      <c r="U7" s="499">
        <v>19.09</v>
      </c>
      <c r="V7" s="500">
        <v>9.5500000000000007</v>
      </c>
      <c r="W7" s="499">
        <v>0</v>
      </c>
      <c r="X7" s="500">
        <v>0</v>
      </c>
      <c r="Y7" s="499">
        <v>0</v>
      </c>
      <c r="Z7" s="500">
        <v>0</v>
      </c>
      <c r="AA7" s="499">
        <v>0</v>
      </c>
      <c r="AB7" s="500">
        <v>0</v>
      </c>
      <c r="AC7" s="499">
        <v>0</v>
      </c>
      <c r="AD7" s="500">
        <v>0</v>
      </c>
    </row>
    <row r="8" spans="1:30" x14ac:dyDescent="0.2">
      <c r="A8" s="192" t="s">
        <v>240</v>
      </c>
      <c r="B8" s="1075"/>
      <c r="C8" s="501">
        <v>11.47</v>
      </c>
      <c r="D8" s="502">
        <v>5.73</v>
      </c>
      <c r="E8" s="501">
        <v>0</v>
      </c>
      <c r="F8" s="502">
        <v>0</v>
      </c>
      <c r="G8" s="501">
        <v>45.83</v>
      </c>
      <c r="H8" s="502">
        <v>22.92</v>
      </c>
      <c r="I8" s="501">
        <v>15.28</v>
      </c>
      <c r="J8" s="502">
        <v>7.64</v>
      </c>
      <c r="K8" s="501">
        <v>53.47</v>
      </c>
      <c r="L8" s="502">
        <v>26.73</v>
      </c>
      <c r="M8" s="501">
        <v>62.04</v>
      </c>
      <c r="N8" s="502">
        <v>0</v>
      </c>
      <c r="O8" s="501">
        <v>4.58</v>
      </c>
      <c r="P8" s="502">
        <v>0</v>
      </c>
      <c r="Q8" s="501">
        <v>2.2999999999999998</v>
      </c>
      <c r="R8" s="502">
        <v>0</v>
      </c>
      <c r="S8" s="501">
        <v>6.88</v>
      </c>
      <c r="T8" s="502">
        <v>0</v>
      </c>
      <c r="U8" s="501">
        <v>17.57</v>
      </c>
      <c r="V8" s="502">
        <v>8.7899999999999991</v>
      </c>
      <c r="W8" s="501">
        <v>0</v>
      </c>
      <c r="X8" s="502">
        <v>0</v>
      </c>
      <c r="Y8" s="501">
        <v>0</v>
      </c>
      <c r="Z8" s="502">
        <v>0</v>
      </c>
      <c r="AA8" s="501">
        <v>0</v>
      </c>
      <c r="AB8" s="502">
        <v>0</v>
      </c>
      <c r="AC8" s="501">
        <v>0</v>
      </c>
      <c r="AD8" s="502">
        <v>0</v>
      </c>
    </row>
    <row r="9" spans="1:30" x14ac:dyDescent="0.2">
      <c r="A9" s="192" t="s">
        <v>84</v>
      </c>
      <c r="B9" s="1076"/>
      <c r="C9" s="501">
        <v>0</v>
      </c>
      <c r="D9" s="502">
        <v>0</v>
      </c>
      <c r="E9" s="501">
        <v>0</v>
      </c>
      <c r="F9" s="502">
        <v>0</v>
      </c>
      <c r="G9" s="501">
        <v>0</v>
      </c>
      <c r="H9" s="502">
        <v>0</v>
      </c>
      <c r="I9" s="501">
        <v>6.11</v>
      </c>
      <c r="J9" s="502">
        <v>3.05</v>
      </c>
      <c r="K9" s="501">
        <v>0</v>
      </c>
      <c r="L9" s="502">
        <v>0</v>
      </c>
      <c r="M9" s="501">
        <v>0</v>
      </c>
      <c r="N9" s="502">
        <v>0</v>
      </c>
      <c r="O9" s="501">
        <v>0</v>
      </c>
      <c r="P9" s="502">
        <v>0</v>
      </c>
      <c r="Q9" s="501">
        <v>0</v>
      </c>
      <c r="R9" s="502">
        <v>0</v>
      </c>
      <c r="S9" s="501">
        <v>0</v>
      </c>
      <c r="T9" s="502">
        <v>0</v>
      </c>
      <c r="U9" s="501">
        <v>6.11</v>
      </c>
      <c r="V9" s="502">
        <v>3.05</v>
      </c>
      <c r="W9" s="501">
        <v>0</v>
      </c>
      <c r="X9" s="502">
        <v>0</v>
      </c>
      <c r="Y9" s="501">
        <v>0</v>
      </c>
      <c r="Z9" s="502">
        <v>0</v>
      </c>
      <c r="AA9" s="501">
        <v>0</v>
      </c>
      <c r="AB9" s="502">
        <v>0</v>
      </c>
      <c r="AC9" s="501">
        <v>0</v>
      </c>
      <c r="AD9" s="502">
        <v>0</v>
      </c>
    </row>
    <row r="10" spans="1:30" x14ac:dyDescent="0.2">
      <c r="A10" s="192" t="s">
        <v>239</v>
      </c>
      <c r="B10" s="1074" t="str">
        <f>IF(Zona3&lt;&gt;"",Zona3,"")</f>
        <v>C</v>
      </c>
      <c r="C10" s="499">
        <v>7.64</v>
      </c>
      <c r="D10" s="500">
        <v>3.82</v>
      </c>
      <c r="E10" s="499">
        <v>0</v>
      </c>
      <c r="F10" s="500">
        <v>0</v>
      </c>
      <c r="G10" s="499">
        <v>68.75</v>
      </c>
      <c r="H10" s="500">
        <v>34.380000000000003</v>
      </c>
      <c r="I10" s="499">
        <v>16.809999999999999</v>
      </c>
      <c r="J10" s="500">
        <v>8.4</v>
      </c>
      <c r="K10" s="499">
        <v>61.12</v>
      </c>
      <c r="L10" s="500">
        <v>30.56</v>
      </c>
      <c r="M10" s="499">
        <v>132.62</v>
      </c>
      <c r="N10" s="500">
        <v>0</v>
      </c>
      <c r="O10" s="499">
        <v>15.28</v>
      </c>
      <c r="P10" s="500">
        <v>0</v>
      </c>
      <c r="Q10" s="499">
        <v>6.88</v>
      </c>
      <c r="R10" s="500">
        <v>0</v>
      </c>
      <c r="S10" s="499">
        <v>19.87</v>
      </c>
      <c r="T10" s="500">
        <v>0</v>
      </c>
      <c r="U10" s="499">
        <v>19.09</v>
      </c>
      <c r="V10" s="500">
        <v>9.5500000000000007</v>
      </c>
      <c r="W10" s="499">
        <v>0</v>
      </c>
      <c r="X10" s="500">
        <v>0</v>
      </c>
      <c r="Y10" s="499">
        <v>0</v>
      </c>
      <c r="Z10" s="500">
        <v>0</v>
      </c>
      <c r="AA10" s="499">
        <v>0</v>
      </c>
      <c r="AB10" s="500">
        <v>0</v>
      </c>
      <c r="AC10" s="499">
        <v>0</v>
      </c>
      <c r="AD10" s="500">
        <v>0</v>
      </c>
    </row>
    <row r="11" spans="1:30" x14ac:dyDescent="0.2">
      <c r="A11" s="192" t="s">
        <v>240</v>
      </c>
      <c r="B11" s="1075"/>
      <c r="C11" s="501">
        <v>11.47</v>
      </c>
      <c r="D11" s="502">
        <v>5.73</v>
      </c>
      <c r="E11" s="501">
        <v>0</v>
      </c>
      <c r="F11" s="502">
        <v>0</v>
      </c>
      <c r="G11" s="501">
        <v>45.83</v>
      </c>
      <c r="H11" s="502">
        <v>22.92</v>
      </c>
      <c r="I11" s="501">
        <v>15.28</v>
      </c>
      <c r="J11" s="502">
        <v>7.64</v>
      </c>
      <c r="K11" s="501">
        <v>53.47</v>
      </c>
      <c r="L11" s="502">
        <v>26.73</v>
      </c>
      <c r="M11" s="501">
        <v>62.04</v>
      </c>
      <c r="N11" s="502">
        <v>0</v>
      </c>
      <c r="O11" s="501">
        <v>4.58</v>
      </c>
      <c r="P11" s="502">
        <v>0</v>
      </c>
      <c r="Q11" s="501">
        <v>2.2999999999999998</v>
      </c>
      <c r="R11" s="502">
        <v>0</v>
      </c>
      <c r="S11" s="501">
        <v>6.88</v>
      </c>
      <c r="T11" s="502">
        <v>0</v>
      </c>
      <c r="U11" s="501">
        <v>17.57</v>
      </c>
      <c r="V11" s="502">
        <v>8.7899999999999991</v>
      </c>
      <c r="W11" s="501">
        <v>0</v>
      </c>
      <c r="X11" s="502">
        <v>0</v>
      </c>
      <c r="Y11" s="501">
        <v>0</v>
      </c>
      <c r="Z11" s="502">
        <v>0</v>
      </c>
      <c r="AA11" s="501">
        <v>0</v>
      </c>
      <c r="AB11" s="502">
        <v>0</v>
      </c>
      <c r="AC11" s="501">
        <v>0</v>
      </c>
      <c r="AD11" s="502">
        <v>0</v>
      </c>
    </row>
    <row r="12" spans="1:30" x14ac:dyDescent="0.2">
      <c r="A12" s="192" t="s">
        <v>84</v>
      </c>
      <c r="B12" s="1076"/>
      <c r="C12" s="501">
        <v>0</v>
      </c>
      <c r="D12" s="502">
        <v>0</v>
      </c>
      <c r="E12" s="501">
        <v>0</v>
      </c>
      <c r="F12" s="502">
        <v>0</v>
      </c>
      <c r="G12" s="501">
        <v>0</v>
      </c>
      <c r="H12" s="502">
        <v>0</v>
      </c>
      <c r="I12" s="501">
        <v>6.11</v>
      </c>
      <c r="J12" s="502">
        <v>3.05</v>
      </c>
      <c r="K12" s="501">
        <v>0</v>
      </c>
      <c r="L12" s="502">
        <v>0</v>
      </c>
      <c r="M12" s="501">
        <v>0</v>
      </c>
      <c r="N12" s="502">
        <v>0</v>
      </c>
      <c r="O12" s="501">
        <v>0</v>
      </c>
      <c r="P12" s="502">
        <v>0</v>
      </c>
      <c r="Q12" s="501">
        <v>0</v>
      </c>
      <c r="R12" s="502">
        <v>0</v>
      </c>
      <c r="S12" s="501">
        <v>0</v>
      </c>
      <c r="T12" s="502">
        <v>0</v>
      </c>
      <c r="U12" s="501">
        <v>6.11</v>
      </c>
      <c r="V12" s="502">
        <v>3.05</v>
      </c>
      <c r="W12" s="501">
        <v>0</v>
      </c>
      <c r="X12" s="502">
        <v>0</v>
      </c>
      <c r="Y12" s="501">
        <v>0</v>
      </c>
      <c r="Z12" s="502">
        <v>0</v>
      </c>
      <c r="AA12" s="501">
        <v>0</v>
      </c>
      <c r="AB12" s="502">
        <v>0</v>
      </c>
      <c r="AC12" s="501">
        <v>0</v>
      </c>
      <c r="AD12" s="502">
        <v>0</v>
      </c>
    </row>
    <row r="13" spans="1:30" x14ac:dyDescent="0.2">
      <c r="A13" s="192" t="s">
        <v>239</v>
      </c>
      <c r="B13" s="1074" t="str">
        <f>IF(Zona4&lt;&gt;"",Zona4,"")</f>
        <v>D</v>
      </c>
      <c r="C13" s="499">
        <v>7.64</v>
      </c>
      <c r="D13" s="500">
        <v>3.82</v>
      </c>
      <c r="E13" s="499">
        <v>0</v>
      </c>
      <c r="F13" s="500">
        <v>0</v>
      </c>
      <c r="G13" s="499">
        <v>68.75</v>
      </c>
      <c r="H13" s="500">
        <v>34.380000000000003</v>
      </c>
      <c r="I13" s="499">
        <v>16.809999999999999</v>
      </c>
      <c r="J13" s="500">
        <v>8.4</v>
      </c>
      <c r="K13" s="499">
        <v>61.12</v>
      </c>
      <c r="L13" s="500">
        <v>30.56</v>
      </c>
      <c r="M13" s="499">
        <v>132.62</v>
      </c>
      <c r="N13" s="500">
        <v>0</v>
      </c>
      <c r="O13" s="499">
        <v>15.28</v>
      </c>
      <c r="P13" s="500">
        <v>0</v>
      </c>
      <c r="Q13" s="499">
        <v>6.88</v>
      </c>
      <c r="R13" s="500">
        <v>0</v>
      </c>
      <c r="S13" s="499">
        <v>19.87</v>
      </c>
      <c r="T13" s="500">
        <v>0</v>
      </c>
      <c r="U13" s="499">
        <v>19.09</v>
      </c>
      <c r="V13" s="500">
        <v>9.5500000000000007</v>
      </c>
      <c r="W13" s="499">
        <v>0</v>
      </c>
      <c r="X13" s="500">
        <v>0</v>
      </c>
      <c r="Y13" s="499">
        <v>0</v>
      </c>
      <c r="Z13" s="500">
        <v>0</v>
      </c>
      <c r="AA13" s="499">
        <v>0</v>
      </c>
      <c r="AB13" s="500">
        <v>0</v>
      </c>
      <c r="AC13" s="499">
        <v>0</v>
      </c>
      <c r="AD13" s="500">
        <v>0</v>
      </c>
    </row>
    <row r="14" spans="1:30" x14ac:dyDescent="0.2">
      <c r="A14" s="192" t="s">
        <v>240</v>
      </c>
      <c r="B14" s="1075"/>
      <c r="C14" s="501">
        <v>11.47</v>
      </c>
      <c r="D14" s="502">
        <v>5.73</v>
      </c>
      <c r="E14" s="501">
        <v>0</v>
      </c>
      <c r="F14" s="502">
        <v>0</v>
      </c>
      <c r="G14" s="501">
        <v>45.83</v>
      </c>
      <c r="H14" s="502">
        <v>22.92</v>
      </c>
      <c r="I14" s="501">
        <v>15.28</v>
      </c>
      <c r="J14" s="502">
        <v>7.64</v>
      </c>
      <c r="K14" s="501">
        <v>53.47</v>
      </c>
      <c r="L14" s="502">
        <v>26.73</v>
      </c>
      <c r="M14" s="501">
        <v>62.04</v>
      </c>
      <c r="N14" s="502">
        <v>0</v>
      </c>
      <c r="O14" s="501">
        <v>4.58</v>
      </c>
      <c r="P14" s="502">
        <v>0</v>
      </c>
      <c r="Q14" s="501">
        <v>2.2999999999999998</v>
      </c>
      <c r="R14" s="502">
        <v>0</v>
      </c>
      <c r="S14" s="501">
        <v>6.88</v>
      </c>
      <c r="T14" s="502">
        <v>0</v>
      </c>
      <c r="U14" s="501">
        <v>17.57</v>
      </c>
      <c r="V14" s="502">
        <v>8.7899999999999991</v>
      </c>
      <c r="W14" s="501">
        <v>0</v>
      </c>
      <c r="X14" s="502">
        <v>0</v>
      </c>
      <c r="Y14" s="501">
        <v>0</v>
      </c>
      <c r="Z14" s="502">
        <v>0</v>
      </c>
      <c r="AA14" s="501">
        <v>0</v>
      </c>
      <c r="AB14" s="502">
        <v>0</v>
      </c>
      <c r="AC14" s="501">
        <v>0</v>
      </c>
      <c r="AD14" s="502">
        <v>0</v>
      </c>
    </row>
    <row r="15" spans="1:30" x14ac:dyDescent="0.2">
      <c r="A15" s="192" t="s">
        <v>84</v>
      </c>
      <c r="B15" s="1076"/>
      <c r="C15" s="501">
        <v>0</v>
      </c>
      <c r="D15" s="502">
        <v>0</v>
      </c>
      <c r="E15" s="501">
        <v>0</v>
      </c>
      <c r="F15" s="502">
        <v>0</v>
      </c>
      <c r="G15" s="501">
        <v>0</v>
      </c>
      <c r="H15" s="502">
        <v>0</v>
      </c>
      <c r="I15" s="501">
        <v>6.11</v>
      </c>
      <c r="J15" s="502">
        <v>3.05</v>
      </c>
      <c r="K15" s="501">
        <v>0</v>
      </c>
      <c r="L15" s="502">
        <v>0</v>
      </c>
      <c r="M15" s="501">
        <v>0</v>
      </c>
      <c r="N15" s="502">
        <v>0</v>
      </c>
      <c r="O15" s="501">
        <v>0</v>
      </c>
      <c r="P15" s="502">
        <v>0</v>
      </c>
      <c r="Q15" s="501">
        <v>0</v>
      </c>
      <c r="R15" s="502">
        <v>0</v>
      </c>
      <c r="S15" s="501">
        <v>0</v>
      </c>
      <c r="T15" s="502">
        <v>0</v>
      </c>
      <c r="U15" s="501">
        <v>6.11</v>
      </c>
      <c r="V15" s="502">
        <v>3.05</v>
      </c>
      <c r="W15" s="501">
        <v>0</v>
      </c>
      <c r="X15" s="502">
        <v>0</v>
      </c>
      <c r="Y15" s="501">
        <v>0</v>
      </c>
      <c r="Z15" s="502">
        <v>0</v>
      </c>
      <c r="AA15" s="501">
        <v>0</v>
      </c>
      <c r="AB15" s="502">
        <v>0</v>
      </c>
      <c r="AC15" s="501">
        <v>0</v>
      </c>
      <c r="AD15" s="502">
        <v>0</v>
      </c>
    </row>
    <row r="16" spans="1:30" x14ac:dyDescent="0.2">
      <c r="A16" s="192" t="s">
        <v>239</v>
      </c>
      <c r="B16" s="1074" t="str">
        <f>IF(Zona5&lt;&gt;"",Zona5,"")</f>
        <v>E</v>
      </c>
      <c r="C16" s="499">
        <v>0</v>
      </c>
      <c r="D16" s="500">
        <v>3.82</v>
      </c>
      <c r="E16" s="499">
        <v>0</v>
      </c>
      <c r="F16" s="500">
        <v>0</v>
      </c>
      <c r="G16" s="499">
        <v>68.75</v>
      </c>
      <c r="H16" s="500">
        <v>34.380000000000003</v>
      </c>
      <c r="I16" s="499">
        <v>16.809999999999999</v>
      </c>
      <c r="J16" s="500">
        <v>8.4</v>
      </c>
      <c r="K16" s="499">
        <v>61.12</v>
      </c>
      <c r="L16" s="500">
        <v>30.56</v>
      </c>
      <c r="M16" s="499">
        <v>132.62</v>
      </c>
      <c r="N16" s="500">
        <v>0</v>
      </c>
      <c r="O16" s="499">
        <v>15.28</v>
      </c>
      <c r="P16" s="500">
        <v>0</v>
      </c>
      <c r="Q16" s="499">
        <v>6.88</v>
      </c>
      <c r="R16" s="500">
        <v>0</v>
      </c>
      <c r="S16" s="499">
        <v>19.87</v>
      </c>
      <c r="T16" s="500">
        <v>0</v>
      </c>
      <c r="U16" s="499">
        <v>19.09</v>
      </c>
      <c r="V16" s="500">
        <v>9.5500000000000007</v>
      </c>
      <c r="W16" s="499">
        <v>0</v>
      </c>
      <c r="X16" s="500">
        <v>0</v>
      </c>
      <c r="Y16" s="499">
        <v>0</v>
      </c>
      <c r="Z16" s="500">
        <v>0</v>
      </c>
      <c r="AA16" s="499">
        <v>0</v>
      </c>
      <c r="AB16" s="500">
        <v>0</v>
      </c>
      <c r="AC16" s="499">
        <v>0</v>
      </c>
      <c r="AD16" s="500">
        <v>0</v>
      </c>
    </row>
    <row r="17" spans="1:30" x14ac:dyDescent="0.2">
      <c r="A17" s="192" t="s">
        <v>240</v>
      </c>
      <c r="B17" s="1075"/>
      <c r="C17" s="501">
        <v>7.64</v>
      </c>
      <c r="D17" s="502">
        <v>5.73</v>
      </c>
      <c r="E17" s="501">
        <v>0</v>
      </c>
      <c r="F17" s="502">
        <v>0</v>
      </c>
      <c r="G17" s="501">
        <v>45.83</v>
      </c>
      <c r="H17" s="502">
        <v>22.92</v>
      </c>
      <c r="I17" s="501">
        <v>15.28</v>
      </c>
      <c r="J17" s="502">
        <v>7.64</v>
      </c>
      <c r="K17" s="501">
        <v>53.47</v>
      </c>
      <c r="L17" s="502">
        <v>26.73</v>
      </c>
      <c r="M17" s="501">
        <v>62.04</v>
      </c>
      <c r="N17" s="502">
        <v>0</v>
      </c>
      <c r="O17" s="501">
        <v>4.58</v>
      </c>
      <c r="P17" s="502">
        <v>0</v>
      </c>
      <c r="Q17" s="501">
        <v>2.2999999999999998</v>
      </c>
      <c r="R17" s="502">
        <v>0</v>
      </c>
      <c r="S17" s="501">
        <v>6.88</v>
      </c>
      <c r="T17" s="502">
        <v>0</v>
      </c>
      <c r="U17" s="501">
        <v>17.57</v>
      </c>
      <c r="V17" s="502">
        <v>8.7899999999999991</v>
      </c>
      <c r="W17" s="501">
        <v>0</v>
      </c>
      <c r="X17" s="502">
        <v>0</v>
      </c>
      <c r="Y17" s="501">
        <v>0</v>
      </c>
      <c r="Z17" s="502">
        <v>0</v>
      </c>
      <c r="AA17" s="501">
        <v>0</v>
      </c>
      <c r="AB17" s="502">
        <v>0</v>
      </c>
      <c r="AC17" s="501">
        <v>0</v>
      </c>
      <c r="AD17" s="502">
        <v>0</v>
      </c>
    </row>
    <row r="18" spans="1:30" x14ac:dyDescent="0.2">
      <c r="A18" s="192" t="s">
        <v>84</v>
      </c>
      <c r="B18" s="1076"/>
      <c r="C18" s="501">
        <v>11.47</v>
      </c>
      <c r="D18" s="502">
        <v>0</v>
      </c>
      <c r="E18" s="501">
        <v>0</v>
      </c>
      <c r="F18" s="502">
        <v>0</v>
      </c>
      <c r="G18" s="501">
        <v>0</v>
      </c>
      <c r="H18" s="502">
        <v>0</v>
      </c>
      <c r="I18" s="501">
        <v>6.11</v>
      </c>
      <c r="J18" s="502">
        <v>3.05</v>
      </c>
      <c r="K18" s="501">
        <v>0</v>
      </c>
      <c r="L18" s="502">
        <v>0</v>
      </c>
      <c r="M18" s="501">
        <v>0</v>
      </c>
      <c r="N18" s="502">
        <v>0</v>
      </c>
      <c r="O18" s="501">
        <v>0</v>
      </c>
      <c r="P18" s="502">
        <v>0</v>
      </c>
      <c r="Q18" s="501">
        <v>0</v>
      </c>
      <c r="R18" s="502">
        <v>0</v>
      </c>
      <c r="S18" s="501">
        <v>0</v>
      </c>
      <c r="T18" s="502">
        <v>0</v>
      </c>
      <c r="U18" s="501">
        <v>6.11</v>
      </c>
      <c r="V18" s="502">
        <v>3.05</v>
      </c>
      <c r="W18" s="501">
        <v>0</v>
      </c>
      <c r="X18" s="502">
        <v>0</v>
      </c>
      <c r="Y18" s="501">
        <v>0</v>
      </c>
      <c r="Z18" s="502">
        <v>0</v>
      </c>
      <c r="AA18" s="501">
        <v>0</v>
      </c>
      <c r="AB18" s="502">
        <v>0</v>
      </c>
      <c r="AC18" s="501">
        <v>0</v>
      </c>
      <c r="AD18" s="502">
        <v>0</v>
      </c>
    </row>
    <row r="19" spans="1:30" hidden="1" x14ac:dyDescent="0.2">
      <c r="A19" s="192" t="s">
        <v>239</v>
      </c>
      <c r="B19" s="1074" t="str">
        <f>IF(Zona6&lt;&gt;"",Zona6,"")</f>
        <v>F</v>
      </c>
      <c r="C19" s="499">
        <v>0</v>
      </c>
      <c r="D19" s="500">
        <v>3.82</v>
      </c>
      <c r="E19" s="499">
        <v>0</v>
      </c>
      <c r="F19" s="500">
        <v>0</v>
      </c>
      <c r="G19" s="499">
        <v>0</v>
      </c>
      <c r="H19" s="500">
        <v>0</v>
      </c>
      <c r="I19" s="499">
        <v>0</v>
      </c>
      <c r="J19" s="500">
        <v>0</v>
      </c>
      <c r="K19" s="499">
        <v>0</v>
      </c>
      <c r="L19" s="500">
        <v>0</v>
      </c>
      <c r="M19" s="499">
        <v>0</v>
      </c>
      <c r="N19" s="500">
        <v>0</v>
      </c>
      <c r="O19" s="499">
        <v>0</v>
      </c>
      <c r="P19" s="500">
        <v>0</v>
      </c>
      <c r="Q19" s="499">
        <v>0</v>
      </c>
      <c r="R19" s="500">
        <v>0</v>
      </c>
      <c r="S19" s="499">
        <v>0</v>
      </c>
      <c r="T19" s="500">
        <v>0</v>
      </c>
      <c r="U19" s="499">
        <v>0</v>
      </c>
      <c r="V19" s="500">
        <v>0</v>
      </c>
      <c r="W19" s="499">
        <v>0</v>
      </c>
      <c r="X19" s="500">
        <v>0</v>
      </c>
      <c r="Y19" s="499">
        <v>0</v>
      </c>
      <c r="Z19" s="500">
        <v>0</v>
      </c>
      <c r="AA19" s="499">
        <v>0</v>
      </c>
      <c r="AB19" s="500">
        <v>0</v>
      </c>
      <c r="AC19" s="499">
        <v>0</v>
      </c>
      <c r="AD19" s="500">
        <v>0</v>
      </c>
    </row>
    <row r="20" spans="1:30" hidden="1" x14ac:dyDescent="0.2">
      <c r="A20" s="192" t="s">
        <v>240</v>
      </c>
      <c r="B20" s="1075"/>
      <c r="C20" s="501">
        <v>0</v>
      </c>
      <c r="D20" s="502">
        <v>5.73</v>
      </c>
      <c r="E20" s="501">
        <v>0</v>
      </c>
      <c r="F20" s="502">
        <v>0</v>
      </c>
      <c r="G20" s="501">
        <v>0</v>
      </c>
      <c r="H20" s="502">
        <v>0</v>
      </c>
      <c r="I20" s="501">
        <v>0</v>
      </c>
      <c r="J20" s="502">
        <v>0</v>
      </c>
      <c r="K20" s="501">
        <v>0</v>
      </c>
      <c r="L20" s="502">
        <v>0</v>
      </c>
      <c r="M20" s="501">
        <v>0</v>
      </c>
      <c r="N20" s="502">
        <v>0</v>
      </c>
      <c r="O20" s="501">
        <v>0</v>
      </c>
      <c r="P20" s="502">
        <v>0</v>
      </c>
      <c r="Q20" s="501">
        <v>0</v>
      </c>
      <c r="R20" s="502">
        <v>0</v>
      </c>
      <c r="S20" s="501">
        <v>0</v>
      </c>
      <c r="T20" s="502">
        <v>0</v>
      </c>
      <c r="U20" s="501">
        <v>0</v>
      </c>
      <c r="V20" s="502">
        <v>0</v>
      </c>
      <c r="W20" s="501">
        <v>0</v>
      </c>
      <c r="X20" s="502">
        <v>0</v>
      </c>
      <c r="Y20" s="501">
        <v>0</v>
      </c>
      <c r="Z20" s="502">
        <v>0</v>
      </c>
      <c r="AA20" s="501">
        <v>0</v>
      </c>
      <c r="AB20" s="502">
        <v>0</v>
      </c>
      <c r="AC20" s="501">
        <v>0</v>
      </c>
      <c r="AD20" s="502">
        <v>0</v>
      </c>
    </row>
    <row r="21" spans="1:30" ht="12" hidden="1" customHeight="1" x14ac:dyDescent="0.2">
      <c r="A21" s="192" t="s">
        <v>84</v>
      </c>
      <c r="B21" s="1076"/>
      <c r="C21" s="503">
        <v>0</v>
      </c>
      <c r="D21" s="504">
        <v>0</v>
      </c>
      <c r="E21" s="503">
        <v>0</v>
      </c>
      <c r="F21" s="504">
        <v>0</v>
      </c>
      <c r="G21" s="503">
        <v>0</v>
      </c>
      <c r="H21" s="504">
        <v>0</v>
      </c>
      <c r="I21" s="503">
        <v>0</v>
      </c>
      <c r="J21" s="504">
        <v>0</v>
      </c>
      <c r="K21" s="503">
        <v>0</v>
      </c>
      <c r="L21" s="504">
        <v>0</v>
      </c>
      <c r="M21" s="503">
        <v>0</v>
      </c>
      <c r="N21" s="504">
        <v>0</v>
      </c>
      <c r="O21" s="503">
        <v>0</v>
      </c>
      <c r="P21" s="504">
        <v>0</v>
      </c>
      <c r="Q21" s="503">
        <v>0</v>
      </c>
      <c r="R21" s="504">
        <v>0</v>
      </c>
      <c r="S21" s="503">
        <v>0</v>
      </c>
      <c r="T21" s="504">
        <v>0</v>
      </c>
      <c r="U21" s="503">
        <v>0</v>
      </c>
      <c r="V21" s="504">
        <v>0</v>
      </c>
      <c r="W21" s="503">
        <v>0</v>
      </c>
      <c r="X21" s="504">
        <v>0</v>
      </c>
      <c r="Y21" s="503">
        <v>0</v>
      </c>
      <c r="Z21" s="504">
        <v>0</v>
      </c>
      <c r="AA21" s="503">
        <v>0</v>
      </c>
      <c r="AB21" s="504">
        <v>0</v>
      </c>
      <c r="AC21" s="503">
        <v>0</v>
      </c>
      <c r="AD21" s="504">
        <v>0</v>
      </c>
    </row>
    <row r="22" spans="1:30" hidden="1" x14ac:dyDescent="0.2">
      <c r="A22" s="192" t="s">
        <v>239</v>
      </c>
      <c r="B22" s="1074" t="str">
        <f>IF(Zona7&lt;&gt;"",Zona7,"")</f>
        <v/>
      </c>
      <c r="C22" s="501"/>
      <c r="D22" s="502"/>
      <c r="E22" s="501"/>
      <c r="F22" s="502"/>
      <c r="G22" s="501"/>
      <c r="H22" s="502"/>
      <c r="I22" s="501"/>
      <c r="J22" s="502"/>
      <c r="K22" s="501"/>
      <c r="L22" s="502"/>
      <c r="M22" s="501"/>
      <c r="N22" s="527"/>
      <c r="O22" s="501"/>
      <c r="P22" s="527"/>
      <c r="Q22" s="501"/>
      <c r="R22" s="527"/>
      <c r="S22" s="501"/>
      <c r="T22" s="502"/>
      <c r="U22" s="501"/>
      <c r="V22" s="502"/>
      <c r="W22" s="501"/>
      <c r="X22" s="502"/>
      <c r="Y22" s="501"/>
      <c r="Z22" s="502"/>
      <c r="AA22" s="499"/>
      <c r="AB22" s="500"/>
      <c r="AC22" s="499"/>
      <c r="AD22" s="500"/>
    </row>
    <row r="23" spans="1:30" hidden="1" x14ac:dyDescent="0.2">
      <c r="A23" s="192" t="s">
        <v>240</v>
      </c>
      <c r="B23" s="1075"/>
      <c r="C23" s="501"/>
      <c r="D23" s="502"/>
      <c r="E23" s="501"/>
      <c r="F23" s="502"/>
      <c r="G23" s="501"/>
      <c r="H23" s="502"/>
      <c r="I23" s="501"/>
      <c r="J23" s="502"/>
      <c r="K23" s="501"/>
      <c r="L23" s="502"/>
      <c r="M23" s="501"/>
      <c r="N23" s="527"/>
      <c r="O23" s="501"/>
      <c r="P23" s="527"/>
      <c r="Q23" s="501"/>
      <c r="R23" s="527"/>
      <c r="S23" s="501"/>
      <c r="T23" s="502"/>
      <c r="U23" s="501"/>
      <c r="V23" s="502"/>
      <c r="W23" s="501"/>
      <c r="X23" s="502"/>
      <c r="Y23" s="501"/>
      <c r="Z23" s="502"/>
      <c r="AA23" s="501"/>
      <c r="AB23" s="502"/>
      <c r="AC23" s="501"/>
      <c r="AD23" s="502"/>
    </row>
    <row r="24" spans="1:30" hidden="1" x14ac:dyDescent="0.2">
      <c r="A24" s="192" t="s">
        <v>84</v>
      </c>
      <c r="B24" s="1076"/>
      <c r="C24" s="503"/>
      <c r="D24" s="504"/>
      <c r="E24" s="503"/>
      <c r="F24" s="504"/>
      <c r="G24" s="503"/>
      <c r="H24" s="504"/>
      <c r="I24" s="503"/>
      <c r="J24" s="504"/>
      <c r="K24" s="503"/>
      <c r="L24" s="504"/>
      <c r="M24" s="503"/>
      <c r="N24" s="528"/>
      <c r="O24" s="503"/>
      <c r="P24" s="528"/>
      <c r="Q24" s="503"/>
      <c r="R24" s="528"/>
      <c r="S24" s="503"/>
      <c r="T24" s="504"/>
      <c r="U24" s="503"/>
      <c r="V24" s="504"/>
      <c r="W24" s="503"/>
      <c r="X24" s="504"/>
      <c r="Y24" s="503"/>
      <c r="Z24" s="504"/>
      <c r="AA24" s="503"/>
      <c r="AB24" s="504"/>
      <c r="AC24" s="503"/>
      <c r="AD24" s="504"/>
    </row>
    <row r="25" spans="1:30" hidden="1" x14ac:dyDescent="0.2">
      <c r="A25" s="192" t="s">
        <v>239</v>
      </c>
      <c r="B25" s="1074" t="str">
        <f>IF(Zona8&lt;&gt;"",Zona8,"")</f>
        <v/>
      </c>
      <c r="C25" s="499"/>
      <c r="D25" s="502"/>
      <c r="E25" s="499"/>
      <c r="F25" s="500"/>
      <c r="G25" s="499"/>
      <c r="H25" s="500"/>
      <c r="I25" s="526"/>
      <c r="J25" s="500"/>
      <c r="K25" s="499"/>
      <c r="L25" s="500"/>
      <c r="M25" s="499"/>
      <c r="N25" s="526"/>
      <c r="O25" s="499"/>
      <c r="P25" s="526"/>
      <c r="Q25" s="499"/>
      <c r="R25" s="526"/>
      <c r="S25" s="499"/>
      <c r="T25" s="500"/>
      <c r="U25" s="499"/>
      <c r="V25" s="500"/>
      <c r="W25" s="499"/>
      <c r="X25" s="500"/>
      <c r="Y25" s="499"/>
      <c r="Z25" s="500"/>
      <c r="AA25" s="499"/>
      <c r="AB25" s="500"/>
      <c r="AC25" s="499"/>
      <c r="AD25" s="500"/>
    </row>
    <row r="26" spans="1:30" hidden="1" x14ac:dyDescent="0.2">
      <c r="A26" s="192" t="s">
        <v>240</v>
      </c>
      <c r="B26" s="1075"/>
      <c r="C26" s="501"/>
      <c r="D26" s="502"/>
      <c r="E26" s="501"/>
      <c r="F26" s="502"/>
      <c r="G26" s="501"/>
      <c r="H26" s="502"/>
      <c r="I26" s="501"/>
      <c r="J26" s="502"/>
      <c r="K26" s="501"/>
      <c r="L26" s="502"/>
      <c r="M26" s="501"/>
      <c r="N26" s="527"/>
      <c r="O26" s="501"/>
      <c r="P26" s="527"/>
      <c r="Q26" s="501"/>
      <c r="R26" s="527"/>
      <c r="S26" s="501"/>
      <c r="T26" s="502"/>
      <c r="U26" s="501"/>
      <c r="V26" s="502"/>
      <c r="W26" s="501"/>
      <c r="X26" s="502"/>
      <c r="Y26" s="501"/>
      <c r="Z26" s="502"/>
      <c r="AA26" s="501"/>
      <c r="AB26" s="502"/>
      <c r="AC26" s="501"/>
      <c r="AD26" s="502"/>
    </row>
    <row r="27" spans="1:30" hidden="1" x14ac:dyDescent="0.2">
      <c r="A27" s="192" t="s">
        <v>84</v>
      </c>
      <c r="B27" s="1076"/>
      <c r="C27" s="501"/>
      <c r="D27" s="504"/>
      <c r="E27" s="501"/>
      <c r="F27" s="502"/>
      <c r="G27" s="501"/>
      <c r="H27" s="502"/>
      <c r="I27" s="503"/>
      <c r="J27" s="504"/>
      <c r="K27" s="501"/>
      <c r="L27" s="502"/>
      <c r="M27" s="501"/>
      <c r="N27" s="527"/>
      <c r="O27" s="501"/>
      <c r="P27" s="527"/>
      <c r="Q27" s="501"/>
      <c r="R27" s="527"/>
      <c r="S27" s="501"/>
      <c r="T27" s="502"/>
      <c r="U27" s="501"/>
      <c r="V27" s="502"/>
      <c r="W27" s="501"/>
      <c r="X27" s="502"/>
      <c r="Y27" s="501"/>
      <c r="Z27" s="502"/>
      <c r="AA27" s="503"/>
      <c r="AB27" s="504"/>
      <c r="AC27" s="503"/>
      <c r="AD27" s="504"/>
    </row>
    <row r="28" spans="1:30" hidden="1" x14ac:dyDescent="0.2">
      <c r="A28" s="192" t="s">
        <v>239</v>
      </c>
      <c r="B28" s="1074" t="str">
        <f>IF(Zona9&lt;&gt;"",Zona9,"")</f>
        <v/>
      </c>
      <c r="C28" s="499"/>
      <c r="D28" s="502"/>
      <c r="E28" s="499"/>
      <c r="F28" s="500"/>
      <c r="G28" s="499"/>
      <c r="H28" s="500"/>
      <c r="I28" s="499"/>
      <c r="J28" s="500"/>
      <c r="K28" s="499"/>
      <c r="L28" s="500"/>
      <c r="M28" s="499"/>
      <c r="N28" s="526"/>
      <c r="O28" s="499"/>
      <c r="P28" s="526"/>
      <c r="Q28" s="499"/>
      <c r="R28" s="526"/>
      <c r="S28" s="499"/>
      <c r="T28" s="500"/>
      <c r="U28" s="499"/>
      <c r="V28" s="500"/>
      <c r="W28" s="499"/>
      <c r="X28" s="500"/>
      <c r="Y28" s="499"/>
      <c r="Z28" s="500"/>
      <c r="AA28" s="499"/>
      <c r="AB28" s="500"/>
      <c r="AC28" s="499"/>
      <c r="AD28" s="500"/>
    </row>
    <row r="29" spans="1:30" hidden="1" x14ac:dyDescent="0.2">
      <c r="A29" s="192" t="s">
        <v>240</v>
      </c>
      <c r="B29" s="1075"/>
      <c r="C29" s="501"/>
      <c r="D29" s="502"/>
      <c r="E29" s="501"/>
      <c r="F29" s="502"/>
      <c r="G29" s="501"/>
      <c r="H29" s="502"/>
      <c r="I29" s="501"/>
      <c r="J29" s="502"/>
      <c r="K29" s="501"/>
      <c r="L29" s="502"/>
      <c r="M29" s="501"/>
      <c r="N29" s="527"/>
      <c r="O29" s="501"/>
      <c r="P29" s="527"/>
      <c r="Q29" s="501"/>
      <c r="R29" s="527"/>
      <c r="S29" s="501"/>
      <c r="T29" s="502"/>
      <c r="U29" s="501"/>
      <c r="V29" s="502"/>
      <c r="W29" s="501"/>
      <c r="X29" s="502"/>
      <c r="Y29" s="501"/>
      <c r="Z29" s="502"/>
      <c r="AA29" s="501"/>
      <c r="AB29" s="502"/>
      <c r="AC29" s="501"/>
      <c r="AD29" s="502"/>
    </row>
    <row r="30" spans="1:30" hidden="1" x14ac:dyDescent="0.2">
      <c r="A30" s="192" t="s">
        <v>84</v>
      </c>
      <c r="B30" s="1076"/>
      <c r="C30" s="501"/>
      <c r="D30" s="504"/>
      <c r="E30" s="501"/>
      <c r="F30" s="502"/>
      <c r="G30" s="501"/>
      <c r="H30" s="502"/>
      <c r="I30" s="501"/>
      <c r="J30" s="502"/>
      <c r="K30" s="501"/>
      <c r="L30" s="502"/>
      <c r="M30" s="501"/>
      <c r="N30" s="527"/>
      <c r="O30" s="501"/>
      <c r="P30" s="527"/>
      <c r="Q30" s="501"/>
      <c r="R30" s="527"/>
      <c r="S30" s="501"/>
      <c r="T30" s="502"/>
      <c r="U30" s="501"/>
      <c r="V30" s="502"/>
      <c r="W30" s="501"/>
      <c r="X30" s="502"/>
      <c r="Y30" s="501"/>
      <c r="Z30" s="502"/>
      <c r="AA30" s="503"/>
      <c r="AB30" s="504"/>
      <c r="AC30" s="503"/>
      <c r="AD30" s="504"/>
    </row>
    <row r="31" spans="1:30" hidden="1" x14ac:dyDescent="0.2">
      <c r="A31" s="192" t="s">
        <v>239</v>
      </c>
      <c r="B31" s="1074" t="str">
        <f>IF(Zona10&lt;&gt;"",Zona10,"")</f>
        <v/>
      </c>
      <c r="C31" s="499"/>
      <c r="D31" s="502"/>
      <c r="E31" s="499"/>
      <c r="F31" s="500"/>
      <c r="G31" s="499"/>
      <c r="H31" s="500"/>
      <c r="I31" s="499"/>
      <c r="J31" s="500"/>
      <c r="K31" s="499"/>
      <c r="L31" s="500"/>
      <c r="M31" s="499"/>
      <c r="N31" s="526"/>
      <c r="O31" s="499"/>
      <c r="P31" s="526"/>
      <c r="Q31" s="499"/>
      <c r="R31" s="526"/>
      <c r="S31" s="499"/>
      <c r="T31" s="500"/>
      <c r="U31" s="499"/>
      <c r="V31" s="500"/>
      <c r="W31" s="499"/>
      <c r="X31" s="500"/>
      <c r="Y31" s="499"/>
      <c r="Z31" s="500"/>
      <c r="AA31" s="499"/>
      <c r="AB31" s="500"/>
      <c r="AC31" s="499"/>
      <c r="AD31" s="500"/>
    </row>
    <row r="32" spans="1:30" hidden="1" x14ac:dyDescent="0.2">
      <c r="A32" s="192" t="s">
        <v>240</v>
      </c>
      <c r="B32" s="1075"/>
      <c r="C32" s="501"/>
      <c r="D32" s="502"/>
      <c r="E32" s="501"/>
      <c r="F32" s="502"/>
      <c r="G32" s="501"/>
      <c r="H32" s="502"/>
      <c r="I32" s="501"/>
      <c r="J32" s="502"/>
      <c r="K32" s="501"/>
      <c r="L32" s="502"/>
      <c r="M32" s="501"/>
      <c r="N32" s="527"/>
      <c r="O32" s="501"/>
      <c r="P32" s="527"/>
      <c r="Q32" s="501"/>
      <c r="R32" s="527"/>
      <c r="S32" s="501"/>
      <c r="T32" s="502"/>
      <c r="U32" s="501"/>
      <c r="V32" s="502"/>
      <c r="W32" s="501"/>
      <c r="X32" s="502"/>
      <c r="Y32" s="501"/>
      <c r="Z32" s="502"/>
      <c r="AA32" s="501"/>
      <c r="AB32" s="502"/>
      <c r="AC32" s="501"/>
      <c r="AD32" s="502"/>
    </row>
    <row r="33" spans="1:30" hidden="1" x14ac:dyDescent="0.2">
      <c r="A33" s="192" t="s">
        <v>84</v>
      </c>
      <c r="B33" s="1076"/>
      <c r="C33" s="501"/>
      <c r="D33" s="504"/>
      <c r="E33" s="501"/>
      <c r="F33" s="502"/>
      <c r="G33" s="501"/>
      <c r="H33" s="502"/>
      <c r="I33" s="501"/>
      <c r="J33" s="502"/>
      <c r="K33" s="501"/>
      <c r="L33" s="502"/>
      <c r="M33" s="501"/>
      <c r="N33" s="527"/>
      <c r="O33" s="501"/>
      <c r="P33" s="527"/>
      <c r="Q33" s="501"/>
      <c r="R33" s="527"/>
      <c r="S33" s="501"/>
      <c r="T33" s="502"/>
      <c r="U33" s="501"/>
      <c r="V33" s="502"/>
      <c r="W33" s="501"/>
      <c r="X33" s="502"/>
      <c r="Y33" s="501"/>
      <c r="Z33" s="502"/>
      <c r="AA33" s="503"/>
      <c r="AB33" s="504"/>
      <c r="AC33" s="503"/>
      <c r="AD33" s="504"/>
    </row>
    <row r="34" spans="1:30" hidden="1" x14ac:dyDescent="0.2">
      <c r="A34" s="192" t="s">
        <v>239</v>
      </c>
      <c r="B34" s="1074" t="str">
        <f>IF(Zona11&lt;&gt;"",Zona11,"")</f>
        <v/>
      </c>
      <c r="C34" s="499"/>
      <c r="D34" s="502"/>
      <c r="E34" s="499"/>
      <c r="F34" s="500"/>
      <c r="G34" s="499"/>
      <c r="H34" s="500"/>
      <c r="I34" s="499"/>
      <c r="J34" s="500"/>
      <c r="K34" s="499"/>
      <c r="L34" s="500"/>
      <c r="M34" s="499"/>
      <c r="N34" s="526"/>
      <c r="O34" s="499"/>
      <c r="P34" s="526"/>
      <c r="Q34" s="499"/>
      <c r="R34" s="526"/>
      <c r="S34" s="499"/>
      <c r="T34" s="500"/>
      <c r="U34" s="499"/>
      <c r="V34" s="500"/>
      <c r="W34" s="499"/>
      <c r="X34" s="500"/>
      <c r="Y34" s="499"/>
      <c r="Z34" s="500"/>
      <c r="AA34" s="499"/>
      <c r="AB34" s="500"/>
      <c r="AC34" s="499"/>
      <c r="AD34" s="500"/>
    </row>
    <row r="35" spans="1:30" hidden="1" x14ac:dyDescent="0.2">
      <c r="A35" s="192" t="s">
        <v>240</v>
      </c>
      <c r="B35" s="1075"/>
      <c r="C35" s="501"/>
      <c r="D35" s="502"/>
      <c r="E35" s="501"/>
      <c r="F35" s="502"/>
      <c r="G35" s="501"/>
      <c r="H35" s="502"/>
      <c r="I35" s="501"/>
      <c r="J35" s="502"/>
      <c r="K35" s="501"/>
      <c r="L35" s="502"/>
      <c r="M35" s="501"/>
      <c r="N35" s="527"/>
      <c r="O35" s="501"/>
      <c r="P35" s="527"/>
      <c r="Q35" s="501"/>
      <c r="R35" s="527"/>
      <c r="S35" s="501"/>
      <c r="T35" s="502"/>
      <c r="U35" s="501"/>
      <c r="V35" s="502"/>
      <c r="W35" s="501"/>
      <c r="X35" s="502"/>
      <c r="Y35" s="501"/>
      <c r="Z35" s="502"/>
      <c r="AA35" s="501"/>
      <c r="AB35" s="502"/>
      <c r="AC35" s="501"/>
      <c r="AD35" s="502"/>
    </row>
    <row r="36" spans="1:30" hidden="1" x14ac:dyDescent="0.2">
      <c r="A36" s="192" t="s">
        <v>84</v>
      </c>
      <c r="B36" s="1076"/>
      <c r="C36" s="501"/>
      <c r="D36" s="504"/>
      <c r="E36" s="501"/>
      <c r="F36" s="502"/>
      <c r="G36" s="501"/>
      <c r="H36" s="502"/>
      <c r="I36" s="501"/>
      <c r="J36" s="502"/>
      <c r="K36" s="501"/>
      <c r="L36" s="502"/>
      <c r="M36" s="503"/>
      <c r="N36" s="528"/>
      <c r="O36" s="503"/>
      <c r="P36" s="528"/>
      <c r="Q36" s="503"/>
      <c r="R36" s="528"/>
      <c r="S36" s="503"/>
      <c r="T36" s="504"/>
      <c r="U36" s="503"/>
      <c r="V36" s="504"/>
      <c r="W36" s="503"/>
      <c r="X36" s="504"/>
      <c r="Y36" s="503"/>
      <c r="Z36" s="504"/>
      <c r="AA36" s="503"/>
      <c r="AB36" s="504"/>
      <c r="AC36" s="503"/>
      <c r="AD36" s="504"/>
    </row>
    <row r="37" spans="1:30" hidden="1" x14ac:dyDescent="0.2">
      <c r="A37" s="192" t="s">
        <v>239</v>
      </c>
      <c r="B37" s="1074" t="str">
        <f>IF(Zona12&lt;&gt;"",Zona12,"")</f>
        <v/>
      </c>
      <c r="C37" s="499"/>
      <c r="D37" s="502"/>
      <c r="E37" s="499"/>
      <c r="F37" s="500"/>
      <c r="G37" s="499"/>
      <c r="H37" s="500"/>
      <c r="I37" s="499"/>
      <c r="J37" s="500"/>
      <c r="K37" s="499"/>
      <c r="L37" s="500"/>
      <c r="M37" s="499"/>
      <c r="N37" s="526"/>
      <c r="O37" s="499"/>
      <c r="P37" s="526"/>
      <c r="Q37" s="499"/>
      <c r="R37" s="526"/>
      <c r="S37" s="499"/>
      <c r="T37" s="500"/>
      <c r="U37" s="499"/>
      <c r="V37" s="500"/>
      <c r="W37" s="499"/>
      <c r="X37" s="500"/>
      <c r="Y37" s="499"/>
      <c r="Z37" s="500"/>
      <c r="AA37" s="499"/>
      <c r="AB37" s="500"/>
      <c r="AC37" s="499"/>
      <c r="AD37" s="500"/>
    </row>
    <row r="38" spans="1:30" hidden="1" x14ac:dyDescent="0.2">
      <c r="A38" s="192" t="s">
        <v>240</v>
      </c>
      <c r="B38" s="1075"/>
      <c r="C38" s="501"/>
      <c r="D38" s="502"/>
      <c r="E38" s="501"/>
      <c r="F38" s="502"/>
      <c r="G38" s="501"/>
      <c r="H38" s="502"/>
      <c r="I38" s="501"/>
      <c r="J38" s="502"/>
      <c r="K38" s="501"/>
      <c r="L38" s="502"/>
      <c r="M38" s="501"/>
      <c r="N38" s="527"/>
      <c r="O38" s="501"/>
      <c r="P38" s="527"/>
      <c r="Q38" s="501"/>
      <c r="R38" s="527"/>
      <c r="S38" s="501"/>
      <c r="T38" s="502"/>
      <c r="U38" s="501"/>
      <c r="V38" s="502"/>
      <c r="W38" s="501"/>
      <c r="X38" s="502"/>
      <c r="Y38" s="501"/>
      <c r="Z38" s="502"/>
      <c r="AA38" s="501"/>
      <c r="AB38" s="502"/>
      <c r="AC38" s="501"/>
      <c r="AD38" s="502"/>
    </row>
    <row r="39" spans="1:30" hidden="1" x14ac:dyDescent="0.2">
      <c r="A39" s="192" t="s">
        <v>84</v>
      </c>
      <c r="B39" s="1076"/>
      <c r="C39" s="503"/>
      <c r="D39" s="504"/>
      <c r="E39" s="503"/>
      <c r="F39" s="504"/>
      <c r="G39" s="503"/>
      <c r="H39" s="504"/>
      <c r="I39" s="503"/>
      <c r="J39" s="504"/>
      <c r="K39" s="503"/>
      <c r="L39" s="504"/>
      <c r="M39" s="503"/>
      <c r="N39" s="528"/>
      <c r="O39" s="503"/>
      <c r="P39" s="528"/>
      <c r="Q39" s="503"/>
      <c r="R39" s="528"/>
      <c r="S39" s="503"/>
      <c r="T39" s="504"/>
      <c r="U39" s="503"/>
      <c r="V39" s="504"/>
      <c r="W39" s="503"/>
      <c r="X39" s="504"/>
      <c r="Y39" s="503"/>
      <c r="Z39" s="504"/>
      <c r="AA39" s="503"/>
      <c r="AB39" s="504"/>
      <c r="AC39" s="503"/>
      <c r="AD39" s="504"/>
    </row>
    <row r="40" spans="1:30" hidden="1" x14ac:dyDescent="0.2">
      <c r="A40" s="192" t="s">
        <v>239</v>
      </c>
      <c r="B40" s="1074" t="str">
        <f>IF(Zona13&lt;&gt;"",Zona13,"")</f>
        <v/>
      </c>
      <c r="C40" s="501"/>
      <c r="D40" s="502"/>
      <c r="E40" s="501"/>
      <c r="F40" s="502"/>
      <c r="G40" s="501"/>
      <c r="H40" s="502"/>
      <c r="I40" s="527"/>
      <c r="J40" s="502"/>
      <c r="K40" s="527"/>
      <c r="L40" s="502"/>
      <c r="M40" s="501"/>
      <c r="N40" s="527"/>
      <c r="O40" s="501"/>
      <c r="P40" s="527"/>
      <c r="Q40" s="501"/>
      <c r="R40" s="527"/>
      <c r="S40" s="501"/>
      <c r="T40" s="502"/>
      <c r="U40" s="501"/>
      <c r="V40" s="502"/>
      <c r="W40" s="501"/>
      <c r="X40" s="502"/>
      <c r="Y40" s="501"/>
      <c r="Z40" s="502"/>
      <c r="AA40" s="499"/>
      <c r="AB40" s="500"/>
      <c r="AC40" s="499"/>
      <c r="AD40" s="500"/>
    </row>
    <row r="41" spans="1:30" hidden="1" x14ac:dyDescent="0.2">
      <c r="A41" s="192" t="s">
        <v>240</v>
      </c>
      <c r="B41" s="1075"/>
      <c r="C41" s="501"/>
      <c r="D41" s="502"/>
      <c r="E41" s="501"/>
      <c r="F41" s="502"/>
      <c r="G41" s="501"/>
      <c r="H41" s="502"/>
      <c r="I41" s="527"/>
      <c r="J41" s="502"/>
      <c r="K41" s="527"/>
      <c r="L41" s="502"/>
      <c r="M41" s="501"/>
      <c r="N41" s="527"/>
      <c r="O41" s="501"/>
      <c r="P41" s="527"/>
      <c r="Q41" s="501"/>
      <c r="R41" s="527"/>
      <c r="S41" s="501"/>
      <c r="T41" s="502"/>
      <c r="U41" s="501"/>
      <c r="V41" s="502"/>
      <c r="W41" s="501"/>
      <c r="X41" s="502"/>
      <c r="Y41" s="501"/>
      <c r="Z41" s="502"/>
      <c r="AA41" s="501"/>
      <c r="AB41" s="502"/>
      <c r="AC41" s="501"/>
      <c r="AD41" s="502"/>
    </row>
    <row r="42" spans="1:30" hidden="1" x14ac:dyDescent="0.2">
      <c r="A42" s="192" t="s">
        <v>84</v>
      </c>
      <c r="B42" s="1076"/>
      <c r="C42" s="503"/>
      <c r="D42" s="504"/>
      <c r="E42" s="503"/>
      <c r="F42" s="504"/>
      <c r="G42" s="503"/>
      <c r="H42" s="504"/>
      <c r="I42" s="528"/>
      <c r="J42" s="504"/>
      <c r="K42" s="528"/>
      <c r="L42" s="504"/>
      <c r="M42" s="503"/>
      <c r="N42" s="528"/>
      <c r="O42" s="503"/>
      <c r="P42" s="528"/>
      <c r="Q42" s="503"/>
      <c r="R42" s="528"/>
      <c r="S42" s="503"/>
      <c r="T42" s="504"/>
      <c r="U42" s="503"/>
      <c r="V42" s="504"/>
      <c r="W42" s="503"/>
      <c r="X42" s="504"/>
      <c r="Y42" s="503"/>
      <c r="Z42" s="504"/>
      <c r="AA42" s="503"/>
      <c r="AB42" s="504"/>
      <c r="AC42" s="503"/>
      <c r="AD42" s="504"/>
    </row>
    <row r="43" spans="1:30" hidden="1" x14ac:dyDescent="0.2">
      <c r="A43" s="192" t="s">
        <v>239</v>
      </c>
      <c r="B43" s="1074" t="str">
        <f>IF(Zona14&lt;&gt;"",Zona14,"")</f>
        <v/>
      </c>
      <c r="C43" s="501"/>
      <c r="D43" s="502"/>
      <c r="E43" s="501"/>
      <c r="F43" s="502"/>
      <c r="G43" s="501"/>
      <c r="H43" s="502"/>
      <c r="I43" s="527"/>
      <c r="J43" s="502"/>
      <c r="K43" s="527"/>
      <c r="L43" s="502"/>
      <c r="M43" s="501"/>
      <c r="N43" s="527"/>
      <c r="O43" s="501"/>
      <c r="P43" s="527"/>
      <c r="Q43" s="501"/>
      <c r="R43" s="527"/>
      <c r="S43" s="501"/>
      <c r="T43" s="502"/>
      <c r="U43" s="501"/>
      <c r="V43" s="502"/>
      <c r="W43" s="501"/>
      <c r="X43" s="502"/>
      <c r="Y43" s="501"/>
      <c r="Z43" s="502"/>
      <c r="AA43" s="499"/>
      <c r="AB43" s="500"/>
      <c r="AC43" s="499"/>
      <c r="AD43" s="500"/>
    </row>
    <row r="44" spans="1:30" hidden="1" x14ac:dyDescent="0.2">
      <c r="A44" s="192" t="s">
        <v>240</v>
      </c>
      <c r="B44" s="1075"/>
      <c r="C44" s="501"/>
      <c r="D44" s="502"/>
      <c r="E44" s="501"/>
      <c r="F44" s="502"/>
      <c r="G44" s="501"/>
      <c r="H44" s="502"/>
      <c r="I44" s="527"/>
      <c r="J44" s="502"/>
      <c r="K44" s="527"/>
      <c r="L44" s="502"/>
      <c r="M44" s="501"/>
      <c r="N44" s="527"/>
      <c r="O44" s="501"/>
      <c r="P44" s="527"/>
      <c r="Q44" s="501"/>
      <c r="R44" s="527"/>
      <c r="S44" s="501"/>
      <c r="T44" s="502"/>
      <c r="U44" s="501"/>
      <c r="V44" s="502"/>
      <c r="W44" s="501"/>
      <c r="X44" s="502"/>
      <c r="Y44" s="501"/>
      <c r="Z44" s="502"/>
      <c r="AA44" s="501"/>
      <c r="AB44" s="502"/>
      <c r="AC44" s="501"/>
      <c r="AD44" s="502"/>
    </row>
    <row r="45" spans="1:30" hidden="1" x14ac:dyDescent="0.2">
      <c r="A45" s="192" t="s">
        <v>84</v>
      </c>
      <c r="B45" s="1076"/>
      <c r="C45" s="503"/>
      <c r="D45" s="504"/>
      <c r="E45" s="503"/>
      <c r="F45" s="504"/>
      <c r="G45" s="503"/>
      <c r="H45" s="504"/>
      <c r="I45" s="528"/>
      <c r="J45" s="504"/>
      <c r="K45" s="528"/>
      <c r="L45" s="504"/>
      <c r="M45" s="503"/>
      <c r="N45" s="528"/>
      <c r="O45" s="503"/>
      <c r="P45" s="528"/>
      <c r="Q45" s="503"/>
      <c r="R45" s="528"/>
      <c r="S45" s="503"/>
      <c r="T45" s="504"/>
      <c r="U45" s="503"/>
      <c r="V45" s="504"/>
      <c r="W45" s="503"/>
      <c r="X45" s="504"/>
      <c r="Y45" s="503"/>
      <c r="Z45" s="504"/>
      <c r="AA45" s="503"/>
      <c r="AB45" s="504"/>
      <c r="AC45" s="503"/>
      <c r="AD45" s="504"/>
    </row>
    <row r="46" spans="1:30" hidden="1" x14ac:dyDescent="0.2">
      <c r="A46" s="192" t="s">
        <v>239</v>
      </c>
      <c r="B46" s="1074" t="str">
        <f>IF(Zona15&lt;&gt;"",Zona15,"")</f>
        <v/>
      </c>
      <c r="C46" s="499"/>
      <c r="D46" s="500"/>
      <c r="E46" s="499"/>
      <c r="F46" s="500"/>
      <c r="G46" s="499"/>
      <c r="H46" s="500"/>
      <c r="I46" s="499"/>
      <c r="J46" s="500"/>
      <c r="K46" s="499"/>
      <c r="L46" s="500"/>
      <c r="M46" s="499"/>
      <c r="N46" s="526"/>
      <c r="O46" s="499"/>
      <c r="P46" s="526"/>
      <c r="Q46" s="499"/>
      <c r="R46" s="526"/>
      <c r="S46" s="499"/>
      <c r="T46" s="500"/>
      <c r="U46" s="499"/>
      <c r="V46" s="500"/>
      <c r="W46" s="499"/>
      <c r="X46" s="500"/>
      <c r="Y46" s="499"/>
      <c r="Z46" s="500"/>
      <c r="AA46" s="499"/>
      <c r="AB46" s="500"/>
      <c r="AC46" s="499"/>
      <c r="AD46" s="500"/>
    </row>
    <row r="47" spans="1:30" hidden="1" x14ac:dyDescent="0.2">
      <c r="A47" s="192" t="s">
        <v>240</v>
      </c>
      <c r="B47" s="1075"/>
      <c r="C47" s="527"/>
      <c r="D47" s="502"/>
      <c r="E47" s="527"/>
      <c r="F47" s="502"/>
      <c r="G47" s="527"/>
      <c r="H47" s="502"/>
      <c r="I47" s="527"/>
      <c r="J47" s="502"/>
      <c r="K47" s="527"/>
      <c r="L47" s="502"/>
      <c r="M47" s="527"/>
      <c r="N47" s="502"/>
      <c r="O47" s="527"/>
      <c r="P47" s="502"/>
      <c r="Q47" s="527"/>
      <c r="R47" s="502"/>
      <c r="S47" s="527"/>
      <c r="T47" s="502"/>
      <c r="U47" s="527"/>
      <c r="V47" s="502"/>
      <c r="W47" s="527"/>
      <c r="X47" s="502"/>
      <c r="Y47" s="527"/>
      <c r="Z47" s="502"/>
      <c r="AA47" s="501"/>
      <c r="AB47" s="502"/>
      <c r="AC47" s="501"/>
      <c r="AD47" s="502"/>
    </row>
    <row r="48" spans="1:30" ht="12.75" hidden="1" customHeight="1" x14ac:dyDescent="0.2">
      <c r="A48" s="192" t="s">
        <v>84</v>
      </c>
      <c r="B48" s="1076"/>
      <c r="C48" s="528"/>
      <c r="D48" s="504"/>
      <c r="E48" s="503"/>
      <c r="F48" s="504"/>
      <c r="G48" s="503"/>
      <c r="H48" s="504"/>
      <c r="I48" s="503"/>
      <c r="J48" s="504"/>
      <c r="K48" s="503"/>
      <c r="L48" s="504"/>
      <c r="M48" s="503"/>
      <c r="N48" s="528"/>
      <c r="O48" s="503"/>
      <c r="P48" s="528"/>
      <c r="Q48" s="503"/>
      <c r="R48" s="504"/>
      <c r="S48" s="528"/>
      <c r="T48" s="504"/>
      <c r="U48" s="528"/>
      <c r="V48" s="504"/>
      <c r="W48" s="528"/>
      <c r="X48" s="504"/>
      <c r="Y48" s="528"/>
      <c r="Z48" s="504"/>
      <c r="AA48" s="503"/>
      <c r="AB48" s="504"/>
      <c r="AC48" s="503"/>
      <c r="AD48" s="504"/>
    </row>
    <row r="49" spans="1:30" x14ac:dyDescent="0.2">
      <c r="A49" s="34"/>
      <c r="B49" s="41"/>
      <c r="C49" s="42"/>
      <c r="D49" s="42"/>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row>
    <row r="50" spans="1:30" x14ac:dyDescent="0.2">
      <c r="A50" s="34"/>
    </row>
    <row r="51" spans="1:30" x14ac:dyDescent="0.2">
      <c r="A51" s="34"/>
      <c r="B51" s="1104" t="s">
        <v>229</v>
      </c>
      <c r="C51" s="1104"/>
      <c r="D51" s="1104"/>
      <c r="E51" s="1104"/>
      <c r="F51" s="1104"/>
      <c r="G51" s="1104"/>
      <c r="H51" s="1104"/>
      <c r="I51" s="1104"/>
      <c r="J51" s="1104"/>
      <c r="K51" s="1104"/>
      <c r="L51" s="1104"/>
      <c r="M51" s="34"/>
      <c r="N51" s="34"/>
      <c r="O51" s="34"/>
      <c r="P51" s="34"/>
      <c r="Q51" s="34"/>
      <c r="R51" s="34"/>
      <c r="S51" s="34"/>
      <c r="T51" s="34"/>
      <c r="U51" s="34"/>
      <c r="V51" s="34"/>
      <c r="W51" s="34"/>
      <c r="X51" s="34"/>
      <c r="Y51" s="34"/>
      <c r="Z51" s="34"/>
      <c r="AA51" s="34"/>
      <c r="AB51" s="34"/>
      <c r="AC51" s="34"/>
      <c r="AD51" s="34"/>
    </row>
    <row r="52" spans="1:30" x14ac:dyDescent="0.2">
      <c r="A52" s="34"/>
      <c r="B52" s="198" t="s">
        <v>101</v>
      </c>
      <c r="C52" s="1077" t="s">
        <v>102</v>
      </c>
      <c r="D52" s="1078"/>
      <c r="E52" s="1078"/>
      <c r="F52" s="1078"/>
      <c r="G52" s="1078"/>
      <c r="H52" s="1078"/>
      <c r="I52" s="1078"/>
      <c r="J52" s="1078"/>
      <c r="K52" s="1078"/>
      <c r="L52" s="1079"/>
    </row>
    <row r="53" spans="1:30" x14ac:dyDescent="0.2">
      <c r="A53" s="34"/>
      <c r="B53" s="208" t="s">
        <v>166</v>
      </c>
      <c r="C53" s="1098" t="s">
        <v>165</v>
      </c>
      <c r="D53" s="1099"/>
      <c r="E53" s="1099"/>
      <c r="F53" s="1099"/>
      <c r="G53" s="1099"/>
      <c r="H53" s="1099"/>
      <c r="I53" s="1099"/>
      <c r="J53" s="1099"/>
      <c r="K53" s="1099"/>
      <c r="L53" s="1100"/>
    </row>
    <row r="54" spans="1:30" x14ac:dyDescent="0.2">
      <c r="A54" s="34"/>
      <c r="B54" s="505" t="s">
        <v>281</v>
      </c>
      <c r="C54" s="1080" t="s">
        <v>390</v>
      </c>
      <c r="D54" s="1081"/>
      <c r="E54" s="1081"/>
      <c r="F54" s="1081"/>
      <c r="G54" s="1081"/>
      <c r="H54" s="1081"/>
      <c r="I54" s="1081"/>
      <c r="J54" s="1081"/>
      <c r="K54" s="1081"/>
      <c r="L54" s="1082"/>
    </row>
    <row r="55" spans="1:30" x14ac:dyDescent="0.2">
      <c r="A55" s="34"/>
      <c r="B55" s="505" t="s">
        <v>155</v>
      </c>
      <c r="C55" s="1101" t="s">
        <v>293</v>
      </c>
      <c r="D55" s="1102"/>
      <c r="E55" s="1102"/>
      <c r="F55" s="1102"/>
      <c r="G55" s="1102"/>
      <c r="H55" s="1102"/>
      <c r="I55" s="1102"/>
      <c r="J55" s="1102"/>
      <c r="K55" s="1102"/>
      <c r="L55" s="1103"/>
    </row>
    <row r="56" spans="1:30" x14ac:dyDescent="0.2">
      <c r="A56" s="34"/>
      <c r="B56" s="505" t="s">
        <v>156</v>
      </c>
      <c r="C56" s="1080" t="s">
        <v>391</v>
      </c>
      <c r="D56" s="1081"/>
      <c r="E56" s="1081"/>
      <c r="F56" s="1081"/>
      <c r="G56" s="1081"/>
      <c r="H56" s="1081"/>
      <c r="I56" s="1081"/>
      <c r="J56" s="1081"/>
      <c r="K56" s="1081"/>
      <c r="L56" s="1082"/>
    </row>
    <row r="57" spans="1:30" x14ac:dyDescent="0.2">
      <c r="A57" s="34"/>
      <c r="B57" s="505" t="s">
        <v>103</v>
      </c>
      <c r="C57" s="1080" t="s">
        <v>294</v>
      </c>
      <c r="D57" s="1081"/>
      <c r="E57" s="1081"/>
      <c r="F57" s="1081"/>
      <c r="G57" s="1081"/>
      <c r="H57" s="1081"/>
      <c r="I57" s="1081"/>
      <c r="J57" s="1081"/>
      <c r="K57" s="1081"/>
      <c r="L57" s="1082"/>
    </row>
    <row r="58" spans="1:30" x14ac:dyDescent="0.2">
      <c r="A58" s="34"/>
      <c r="B58" s="505" t="s">
        <v>6</v>
      </c>
      <c r="C58" s="1080" t="s">
        <v>295</v>
      </c>
      <c r="D58" s="1081"/>
      <c r="E58" s="1081"/>
      <c r="F58" s="1081"/>
      <c r="G58" s="1081"/>
      <c r="H58" s="1081"/>
      <c r="I58" s="1081"/>
      <c r="J58" s="1081"/>
      <c r="K58" s="1081"/>
      <c r="L58" s="1082"/>
    </row>
    <row r="59" spans="1:30" hidden="1" x14ac:dyDescent="0.2">
      <c r="A59" s="34"/>
      <c r="B59" s="505" t="s">
        <v>104</v>
      </c>
      <c r="C59" s="1101" t="s">
        <v>296</v>
      </c>
      <c r="D59" s="1102"/>
      <c r="E59" s="1102"/>
      <c r="F59" s="1102"/>
      <c r="G59" s="1102"/>
      <c r="H59" s="1102"/>
      <c r="I59" s="1102"/>
      <c r="J59" s="1102"/>
      <c r="K59" s="1102"/>
      <c r="L59" s="1103"/>
      <c r="N59" s="34"/>
      <c r="O59" s="34"/>
      <c r="P59" s="34"/>
      <c r="Q59" s="34"/>
      <c r="R59" s="34"/>
      <c r="S59" s="34"/>
      <c r="T59" s="34"/>
      <c r="U59" s="34"/>
      <c r="V59" s="34"/>
      <c r="W59" s="34"/>
      <c r="X59" s="34"/>
      <c r="Y59" s="34"/>
      <c r="Z59" s="34"/>
      <c r="AA59" s="34"/>
      <c r="AB59" s="34"/>
      <c r="AC59" s="34"/>
      <c r="AD59" s="34"/>
    </row>
    <row r="60" spans="1:30" hidden="1" x14ac:dyDescent="0.2">
      <c r="B60" s="505"/>
      <c r="C60" s="1101"/>
      <c r="D60" s="1102"/>
      <c r="E60" s="1102"/>
      <c r="F60" s="1102"/>
      <c r="G60" s="1102"/>
      <c r="H60" s="1102"/>
      <c r="I60" s="1102"/>
      <c r="J60" s="1102"/>
      <c r="K60" s="1102"/>
      <c r="L60" s="1103"/>
      <c r="M60" s="34"/>
    </row>
    <row r="61" spans="1:30" hidden="1" x14ac:dyDescent="0.2">
      <c r="B61" s="505"/>
      <c r="C61" s="1101"/>
      <c r="D61" s="1102"/>
      <c r="E61" s="1102"/>
      <c r="F61" s="1102"/>
      <c r="G61" s="1102"/>
      <c r="H61" s="1102"/>
      <c r="I61" s="1102"/>
      <c r="J61" s="1102"/>
      <c r="K61" s="1102"/>
      <c r="L61" s="1103"/>
    </row>
    <row r="62" spans="1:30" hidden="1" x14ac:dyDescent="0.2">
      <c r="B62" s="505"/>
      <c r="C62" s="1101"/>
      <c r="D62" s="1102"/>
      <c r="E62" s="1102"/>
      <c r="F62" s="1102"/>
      <c r="G62" s="1102"/>
      <c r="H62" s="1102"/>
      <c r="I62" s="1102"/>
      <c r="J62" s="1102"/>
      <c r="K62" s="1102"/>
      <c r="L62" s="1103"/>
    </row>
    <row r="63" spans="1:30" hidden="1" x14ac:dyDescent="0.2">
      <c r="B63" s="505"/>
      <c r="C63" s="1101"/>
      <c r="D63" s="1102"/>
      <c r="E63" s="1102"/>
      <c r="F63" s="1102"/>
      <c r="G63" s="1102"/>
      <c r="H63" s="1102"/>
      <c r="I63" s="1102"/>
      <c r="J63" s="1102"/>
      <c r="K63" s="1102"/>
      <c r="L63" s="1103"/>
    </row>
    <row r="64" spans="1:30" hidden="1" x14ac:dyDescent="0.2">
      <c r="B64" s="505"/>
      <c r="C64" s="1101"/>
      <c r="D64" s="1102"/>
      <c r="E64" s="1102"/>
      <c r="F64" s="1102"/>
      <c r="G64" s="1102"/>
      <c r="H64" s="1102"/>
      <c r="I64" s="1102"/>
      <c r="J64" s="1102"/>
      <c r="K64" s="1102"/>
      <c r="L64" s="1103"/>
    </row>
    <row r="65" spans="2:12" hidden="1" x14ac:dyDescent="0.2">
      <c r="B65" s="505"/>
      <c r="C65" s="1101"/>
      <c r="D65" s="1102"/>
      <c r="E65" s="1102"/>
      <c r="F65" s="1102"/>
      <c r="G65" s="1102"/>
      <c r="H65" s="1102"/>
      <c r="I65" s="1102"/>
      <c r="J65" s="1102"/>
      <c r="K65" s="1102"/>
      <c r="L65" s="1103"/>
    </row>
    <row r="66" spans="2:12" hidden="1" x14ac:dyDescent="0.2">
      <c r="B66" s="505"/>
      <c r="C66" s="1101"/>
      <c r="D66" s="1102"/>
      <c r="E66" s="1102"/>
      <c r="F66" s="1102"/>
      <c r="G66" s="1102"/>
      <c r="H66" s="1102"/>
      <c r="I66" s="1102"/>
      <c r="J66" s="1102"/>
      <c r="K66" s="1102"/>
      <c r="L66" s="1103"/>
    </row>
    <row r="67" spans="2:12" hidden="1" x14ac:dyDescent="0.2">
      <c r="B67" s="505"/>
      <c r="C67" s="1101"/>
      <c r="D67" s="1102"/>
      <c r="E67" s="1102"/>
      <c r="F67" s="1102"/>
      <c r="G67" s="1102"/>
      <c r="H67" s="1102"/>
      <c r="I67" s="1102"/>
      <c r="J67" s="1102"/>
      <c r="K67" s="1102"/>
      <c r="L67" s="1103"/>
    </row>
    <row r="68" spans="2:12" x14ac:dyDescent="0.2">
      <c r="B68" s="506"/>
      <c r="C68" s="1106"/>
      <c r="D68" s="1107"/>
      <c r="E68" s="1107"/>
      <c r="F68" s="1107"/>
      <c r="G68" s="1107"/>
      <c r="H68" s="1107"/>
      <c r="I68" s="1107"/>
      <c r="J68" s="1107"/>
      <c r="K68" s="1107"/>
      <c r="L68" s="1108"/>
    </row>
    <row r="69" spans="2:12" x14ac:dyDescent="0.2"/>
    <row r="70" spans="2:12" x14ac:dyDescent="0.2">
      <c r="B70" s="1104" t="s">
        <v>230</v>
      </c>
      <c r="C70" s="1104"/>
      <c r="D70" s="1104"/>
      <c r="E70" s="1104"/>
      <c r="F70" s="1104"/>
      <c r="G70" s="1104"/>
      <c r="H70" s="1104"/>
      <c r="I70" s="1104"/>
      <c r="J70" s="1104"/>
      <c r="K70" s="1104"/>
      <c r="L70" s="1104"/>
    </row>
    <row r="71" spans="2:12" x14ac:dyDescent="0.2">
      <c r="B71" s="198" t="s">
        <v>101</v>
      </c>
      <c r="C71" s="1077" t="s">
        <v>102</v>
      </c>
      <c r="D71" s="1078"/>
      <c r="E71" s="1078"/>
      <c r="F71" s="1078"/>
      <c r="G71" s="1078"/>
      <c r="H71" s="1078"/>
      <c r="I71" s="1078"/>
      <c r="J71" s="1078"/>
      <c r="K71" s="1078"/>
      <c r="L71" s="1079"/>
    </row>
    <row r="72" spans="2:12" x14ac:dyDescent="0.2">
      <c r="B72" s="208">
        <v>1</v>
      </c>
      <c r="C72" s="1092" t="s">
        <v>1</v>
      </c>
      <c r="D72" s="1093"/>
      <c r="E72" s="1093"/>
      <c r="F72" s="1093"/>
      <c r="G72" s="1093"/>
      <c r="H72" s="1093"/>
      <c r="I72" s="1093"/>
      <c r="J72" s="1093"/>
      <c r="K72" s="1093"/>
      <c r="L72" s="1094"/>
    </row>
    <row r="73" spans="2:12" x14ac:dyDescent="0.2">
      <c r="B73" s="208">
        <v>2</v>
      </c>
      <c r="C73" s="1095" t="s">
        <v>124</v>
      </c>
      <c r="D73" s="1096"/>
      <c r="E73" s="1096"/>
      <c r="F73" s="1096"/>
      <c r="G73" s="1096"/>
      <c r="H73" s="1096"/>
      <c r="I73" s="1096"/>
      <c r="J73" s="1096"/>
      <c r="K73" s="1096"/>
      <c r="L73" s="1097"/>
    </row>
    <row r="74" spans="2:12" x14ac:dyDescent="0.2">
      <c r="B74" s="208">
        <v>3</v>
      </c>
      <c r="C74" s="1095" t="s">
        <v>395</v>
      </c>
      <c r="D74" s="1096"/>
      <c r="E74" s="1096"/>
      <c r="F74" s="1096"/>
      <c r="G74" s="1096"/>
      <c r="H74" s="1096"/>
      <c r="I74" s="1096"/>
      <c r="J74" s="1096"/>
      <c r="K74" s="1096"/>
      <c r="L74" s="1097"/>
    </row>
    <row r="75" spans="2:12" x14ac:dyDescent="0.2">
      <c r="B75" s="208">
        <v>4</v>
      </c>
      <c r="C75" s="1095" t="s">
        <v>245</v>
      </c>
      <c r="D75" s="1096"/>
      <c r="E75" s="1096"/>
      <c r="F75" s="1096"/>
      <c r="G75" s="1096"/>
      <c r="H75" s="1096"/>
      <c r="I75" s="1096"/>
      <c r="J75" s="1096"/>
      <c r="K75" s="1096"/>
      <c r="L75" s="1097"/>
    </row>
    <row r="76" spans="2:12" x14ac:dyDescent="0.2">
      <c r="B76" s="208">
        <v>5</v>
      </c>
      <c r="C76" s="1095" t="s">
        <v>107</v>
      </c>
      <c r="D76" s="1096"/>
      <c r="E76" s="1096"/>
      <c r="F76" s="1096"/>
      <c r="G76" s="1096"/>
      <c r="H76" s="1096"/>
      <c r="I76" s="1096"/>
      <c r="J76" s="1096"/>
      <c r="K76" s="1096"/>
      <c r="L76" s="1097"/>
    </row>
    <row r="77" spans="2:12" x14ac:dyDescent="0.2">
      <c r="B77" s="208">
        <v>6</v>
      </c>
      <c r="C77" s="1095" t="s">
        <v>93</v>
      </c>
      <c r="D77" s="1096"/>
      <c r="E77" s="1096"/>
      <c r="F77" s="1096"/>
      <c r="G77" s="1096"/>
      <c r="H77" s="1096"/>
      <c r="I77" s="1096"/>
      <c r="J77" s="1096"/>
      <c r="K77" s="1096"/>
      <c r="L77" s="1097"/>
    </row>
    <row r="78" spans="2:12" x14ac:dyDescent="0.2">
      <c r="B78" s="208">
        <v>7</v>
      </c>
      <c r="C78" s="1095" t="s">
        <v>91</v>
      </c>
      <c r="D78" s="1096"/>
      <c r="E78" s="1096"/>
      <c r="F78" s="1096"/>
      <c r="G78" s="1096"/>
      <c r="H78" s="1096"/>
      <c r="I78" s="1096"/>
      <c r="J78" s="1096"/>
      <c r="K78" s="1096"/>
      <c r="L78" s="1097"/>
    </row>
    <row r="79" spans="2:12" x14ac:dyDescent="0.2">
      <c r="B79" s="208">
        <v>8</v>
      </c>
      <c r="C79" s="1095" t="s">
        <v>92</v>
      </c>
      <c r="D79" s="1096"/>
      <c r="E79" s="1096"/>
      <c r="F79" s="1096"/>
      <c r="G79" s="1096"/>
      <c r="H79" s="1096"/>
      <c r="I79" s="1096"/>
      <c r="J79" s="1096"/>
      <c r="K79" s="1096"/>
      <c r="L79" s="1097"/>
    </row>
    <row r="80" spans="2:12" x14ac:dyDescent="0.2">
      <c r="B80" s="208">
        <v>9</v>
      </c>
      <c r="C80" s="1095" t="s">
        <v>396</v>
      </c>
      <c r="D80" s="1096"/>
      <c r="E80" s="1096"/>
      <c r="F80" s="1096"/>
      <c r="G80" s="1096"/>
      <c r="H80" s="1096"/>
      <c r="I80" s="1096"/>
      <c r="J80" s="1096"/>
      <c r="K80" s="1096"/>
      <c r="L80" s="1097"/>
    </row>
    <row r="81" spans="2:12" hidden="1" x14ac:dyDescent="0.2">
      <c r="B81" s="208">
        <v>10</v>
      </c>
      <c r="C81" s="1095" t="s">
        <v>299</v>
      </c>
      <c r="D81" s="1096"/>
      <c r="E81" s="1096"/>
      <c r="F81" s="1096"/>
      <c r="G81" s="1096"/>
      <c r="H81" s="1096"/>
      <c r="I81" s="1096"/>
      <c r="J81" s="1096"/>
      <c r="K81" s="1096"/>
      <c r="L81" s="1097"/>
    </row>
    <row r="82" spans="2:12" hidden="1" x14ac:dyDescent="0.2">
      <c r="B82" s="208">
        <v>11</v>
      </c>
      <c r="C82" s="1095" t="s">
        <v>300</v>
      </c>
      <c r="D82" s="1096"/>
      <c r="E82" s="1096"/>
      <c r="F82" s="1096"/>
      <c r="G82" s="1096"/>
      <c r="H82" s="1096"/>
      <c r="I82" s="1096"/>
      <c r="J82" s="1096"/>
      <c r="K82" s="1096"/>
      <c r="L82" s="1097"/>
    </row>
    <row r="83" spans="2:12" hidden="1" x14ac:dyDescent="0.2">
      <c r="B83" s="208">
        <v>12</v>
      </c>
      <c r="C83" s="1095" t="s">
        <v>301</v>
      </c>
      <c r="D83" s="1096"/>
      <c r="E83" s="1096"/>
      <c r="F83" s="1096"/>
      <c r="G83" s="1096"/>
      <c r="H83" s="1096"/>
      <c r="I83" s="1096"/>
      <c r="J83" s="1096"/>
      <c r="K83" s="1096"/>
      <c r="L83" s="1097"/>
    </row>
    <row r="84" spans="2:12" ht="12.75" hidden="1" customHeight="1" x14ac:dyDescent="0.2">
      <c r="B84" s="209">
        <v>13</v>
      </c>
      <c r="C84" s="1115" t="s">
        <v>302</v>
      </c>
      <c r="D84" s="1116"/>
      <c r="E84" s="1116"/>
      <c r="F84" s="1116"/>
      <c r="G84" s="1116"/>
      <c r="H84" s="1116"/>
      <c r="I84" s="1116"/>
      <c r="J84" s="1116"/>
      <c r="K84" s="1116"/>
      <c r="L84" s="1117"/>
    </row>
    <row r="85" spans="2:12" x14ac:dyDescent="0.2"/>
    <row r="86" spans="2:12" x14ac:dyDescent="0.2">
      <c r="B86" s="1105" t="s">
        <v>235</v>
      </c>
      <c r="C86" s="1105"/>
      <c r="D86" s="1105"/>
      <c r="E86" s="1105"/>
      <c r="F86" s="1105"/>
      <c r="G86" s="1105"/>
      <c r="H86" s="1105"/>
      <c r="I86" s="1105"/>
      <c r="J86" s="1105"/>
      <c r="K86" s="1105"/>
      <c r="L86" s="1105"/>
    </row>
    <row r="87" spans="2:12" ht="12.75" customHeight="1" x14ac:dyDescent="0.2">
      <c r="B87" s="199" t="s">
        <v>101</v>
      </c>
      <c r="C87" s="1077" t="s">
        <v>102</v>
      </c>
      <c r="D87" s="1079"/>
      <c r="E87" s="200" t="s">
        <v>244</v>
      </c>
      <c r="I87" s="615" t="s">
        <v>272</v>
      </c>
    </row>
    <row r="88" spans="2:12" ht="12.75" customHeight="1" x14ac:dyDescent="0.2">
      <c r="B88" s="210" t="s">
        <v>166</v>
      </c>
      <c r="C88" s="1111" t="s">
        <v>201</v>
      </c>
      <c r="D88" s="1112"/>
      <c r="E88" s="211"/>
      <c r="I88" s="615" t="s">
        <v>59</v>
      </c>
    </row>
    <row r="89" spans="2:12" ht="12.75" customHeight="1" x14ac:dyDescent="0.2">
      <c r="B89" s="700">
        <v>1</v>
      </c>
      <c r="C89" s="1113" t="s">
        <v>231</v>
      </c>
      <c r="D89" s="1114"/>
      <c r="E89" s="507">
        <v>0</v>
      </c>
      <c r="I89" s="615" t="s">
        <v>265</v>
      </c>
    </row>
    <row r="90" spans="2:12" x14ac:dyDescent="0.2">
      <c r="B90" s="700">
        <v>2</v>
      </c>
      <c r="C90" s="1089" t="s">
        <v>232</v>
      </c>
      <c r="D90" s="1091"/>
      <c r="E90" s="507">
        <v>0</v>
      </c>
    </row>
    <row r="91" spans="2:12" x14ac:dyDescent="0.2">
      <c r="B91" s="700">
        <v>3</v>
      </c>
      <c r="C91" s="1089" t="s">
        <v>233</v>
      </c>
      <c r="D91" s="1090"/>
      <c r="E91" s="507">
        <v>0</v>
      </c>
    </row>
    <row r="92" spans="2:12" x14ac:dyDescent="0.2">
      <c r="B92" s="701">
        <v>4</v>
      </c>
      <c r="C92" s="1127" t="s">
        <v>234</v>
      </c>
      <c r="D92" s="1128"/>
      <c r="E92" s="508">
        <v>0</v>
      </c>
    </row>
    <row r="93" spans="2:12" x14ac:dyDescent="0.2"/>
    <row r="94" spans="2:12" x14ac:dyDescent="0.2">
      <c r="B94" s="1105" t="s">
        <v>236</v>
      </c>
      <c r="C94" s="1105"/>
      <c r="D94" s="1105"/>
      <c r="E94" s="1105"/>
      <c r="F94" s="1105"/>
      <c r="G94" s="1105"/>
      <c r="H94" s="1105"/>
      <c r="I94" s="1105"/>
      <c r="J94" s="1105"/>
      <c r="K94" s="1105"/>
      <c r="L94" s="1105"/>
    </row>
    <row r="95" spans="2:12" x14ac:dyDescent="0.2">
      <c r="B95" s="199" t="s">
        <v>101</v>
      </c>
      <c r="C95" s="1077" t="s">
        <v>102</v>
      </c>
      <c r="D95" s="1079"/>
      <c r="E95" s="200" t="s">
        <v>244</v>
      </c>
    </row>
    <row r="96" spans="2:12" ht="12.75" customHeight="1" x14ac:dyDescent="0.2">
      <c r="B96" s="210" t="s">
        <v>166</v>
      </c>
      <c r="C96" s="1098" t="s">
        <v>201</v>
      </c>
      <c r="D96" s="1100"/>
      <c r="E96" s="211"/>
    </row>
    <row r="97" spans="1:30" ht="12.75" customHeight="1" x14ac:dyDescent="0.2">
      <c r="B97" s="700">
        <v>1</v>
      </c>
      <c r="C97" s="1080" t="s">
        <v>392</v>
      </c>
      <c r="D97" s="1082"/>
      <c r="E97" s="507">
        <v>113</v>
      </c>
    </row>
    <row r="98" spans="1:30" x14ac:dyDescent="0.2">
      <c r="B98" s="700">
        <v>2</v>
      </c>
      <c r="C98" s="1095" t="s">
        <v>393</v>
      </c>
      <c r="D98" s="1097"/>
      <c r="E98" s="507">
        <v>107</v>
      </c>
    </row>
    <row r="99" spans="1:30" x14ac:dyDescent="0.2">
      <c r="B99" s="700">
        <v>3</v>
      </c>
      <c r="C99" s="1095" t="s">
        <v>394</v>
      </c>
      <c r="D99" s="1097"/>
      <c r="E99" s="507">
        <v>30</v>
      </c>
    </row>
    <row r="100" spans="1:30" hidden="1" x14ac:dyDescent="0.2">
      <c r="B100" s="701">
        <v>4</v>
      </c>
      <c r="C100" s="1131" t="s">
        <v>234</v>
      </c>
      <c r="D100" s="1132"/>
      <c r="E100" s="508">
        <v>0</v>
      </c>
    </row>
    <row r="101" spans="1:30" x14ac:dyDescent="0.2"/>
    <row r="102" spans="1:30" ht="39.950000000000003" customHeight="1" x14ac:dyDescent="0.2">
      <c r="B102" s="1077" t="s">
        <v>237</v>
      </c>
      <c r="C102" s="1079"/>
    </row>
    <row r="103" spans="1:30" ht="12.75" customHeight="1" x14ac:dyDescent="0.2">
      <c r="A103" s="645" t="s">
        <v>344</v>
      </c>
      <c r="B103" s="1109">
        <v>491.37</v>
      </c>
      <c r="C103" s="1110"/>
    </row>
    <row r="104" spans="1:30" x14ac:dyDescent="0.2">
      <c r="A104" s="645" t="s">
        <v>345</v>
      </c>
      <c r="B104" s="1109">
        <v>0</v>
      </c>
      <c r="C104" s="1110"/>
    </row>
    <row r="105" spans="1:30" x14ac:dyDescent="0.2"/>
    <row r="106" spans="1:30" ht="39.950000000000003" customHeight="1" x14ac:dyDescent="0.2">
      <c r="B106" s="1077" t="s">
        <v>277</v>
      </c>
      <c r="C106" s="1079"/>
    </row>
    <row r="107" spans="1:30" ht="25.5" x14ac:dyDescent="0.2">
      <c r="B107" s="198" t="s">
        <v>278</v>
      </c>
      <c r="C107" s="198" t="s">
        <v>279</v>
      </c>
    </row>
    <row r="108" spans="1:30" x14ac:dyDescent="0.2">
      <c r="B108" s="509">
        <v>0.1</v>
      </c>
      <c r="C108" s="509">
        <v>0.1</v>
      </c>
    </row>
    <row r="109" spans="1:30" x14ac:dyDescent="0.2">
      <c r="A109" s="34"/>
      <c r="B109" s="40"/>
      <c r="I109" s="34"/>
      <c r="J109" s="34"/>
      <c r="K109" s="34"/>
      <c r="L109" s="34"/>
      <c r="M109" s="34"/>
      <c r="N109" s="34"/>
      <c r="O109" s="34"/>
      <c r="P109" s="34"/>
      <c r="Q109" s="34"/>
      <c r="R109" s="34"/>
      <c r="S109" s="34"/>
      <c r="T109" s="34"/>
      <c r="U109" s="34"/>
      <c r="V109" s="34"/>
      <c r="W109" s="34"/>
      <c r="X109" s="34"/>
      <c r="Y109" s="34"/>
      <c r="Z109" s="34"/>
      <c r="AA109" s="34"/>
      <c r="AB109" s="34"/>
      <c r="AC109" s="34"/>
      <c r="AD109" s="34"/>
    </row>
    <row r="110" spans="1:30" ht="50.1" customHeight="1" x14ac:dyDescent="0.2">
      <c r="B110" s="1077" t="s">
        <v>238</v>
      </c>
      <c r="C110" s="1079"/>
    </row>
    <row r="111" spans="1:30" ht="24.95" customHeight="1" x14ac:dyDescent="0.2">
      <c r="B111" s="198" t="s">
        <v>241</v>
      </c>
      <c r="C111" s="198" t="s">
        <v>242</v>
      </c>
    </row>
    <row r="112" spans="1:30" x14ac:dyDescent="0.2">
      <c r="B112" s="509">
        <v>0.2</v>
      </c>
      <c r="C112" s="509">
        <v>0.2</v>
      </c>
    </row>
    <row r="113" spans="2:4" x14ac:dyDescent="0.2">
      <c r="B113" s="43"/>
    </row>
    <row r="114" spans="2:4" ht="24.95" customHeight="1" x14ac:dyDescent="0.2">
      <c r="B114" s="1077" t="s">
        <v>243</v>
      </c>
      <c r="C114" s="1079"/>
    </row>
    <row r="115" spans="2:4" ht="24.95" customHeight="1" x14ac:dyDescent="0.2">
      <c r="B115" s="198" t="s">
        <v>241</v>
      </c>
      <c r="C115" s="198" t="s">
        <v>242</v>
      </c>
      <c r="D115" s="32"/>
    </row>
    <row r="116" spans="2:4" x14ac:dyDescent="0.2">
      <c r="B116" s="509">
        <v>0</v>
      </c>
      <c r="C116" s="509">
        <v>0</v>
      </c>
      <c r="D116" s="32"/>
    </row>
    <row r="117" spans="2:4" ht="12.75" customHeight="1" x14ac:dyDescent="0.2">
      <c r="D117" s="32"/>
    </row>
    <row r="118" spans="2:4" ht="36.950000000000003" customHeight="1" x14ac:dyDescent="0.2">
      <c r="B118" s="1077" t="s">
        <v>337</v>
      </c>
      <c r="C118" s="1079"/>
    </row>
    <row r="119" spans="2:4" ht="24.95" customHeight="1" x14ac:dyDescent="0.2">
      <c r="B119" s="1077" t="s">
        <v>152</v>
      </c>
      <c r="C119" s="1079"/>
      <c r="D119" s="32"/>
    </row>
    <row r="120" spans="2:4" x14ac:dyDescent="0.2">
      <c r="B120" s="1123">
        <v>0.5</v>
      </c>
      <c r="C120" s="1124"/>
      <c r="D120" s="32"/>
    </row>
    <row r="121" spans="2:4" x14ac:dyDescent="0.2">
      <c r="D121" s="32"/>
    </row>
    <row r="122" spans="2:4" ht="24.95" customHeight="1" x14ac:dyDescent="0.2">
      <c r="B122" s="1077" t="s">
        <v>340</v>
      </c>
      <c r="C122" s="1079"/>
      <c r="D122" s="32"/>
    </row>
    <row r="123" spans="2:4" x14ac:dyDescent="0.2">
      <c r="B123" s="1129">
        <v>5</v>
      </c>
      <c r="C123" s="1130"/>
      <c r="D123" s="32"/>
    </row>
    <row r="124" spans="2:4" x14ac:dyDescent="0.2">
      <c r="D124" s="32"/>
    </row>
    <row r="125" spans="2:4" ht="39.950000000000003" customHeight="1" x14ac:dyDescent="0.2">
      <c r="B125" s="1077" t="s">
        <v>354</v>
      </c>
      <c r="C125" s="1079"/>
      <c r="D125" s="32"/>
    </row>
    <row r="126" spans="2:4" ht="25.5" x14ac:dyDescent="0.2">
      <c r="B126" s="198" t="s">
        <v>241</v>
      </c>
      <c r="C126" s="198" t="s">
        <v>242</v>
      </c>
      <c r="D126" s="32"/>
    </row>
    <row r="127" spans="2:4" x14ac:dyDescent="0.2">
      <c r="B127" s="509">
        <v>0</v>
      </c>
      <c r="C127" s="509">
        <v>0</v>
      </c>
      <c r="D127" s="32"/>
    </row>
    <row r="128" spans="2:4" x14ac:dyDescent="0.2">
      <c r="B128" s="698"/>
      <c r="C128" s="698"/>
      <c r="D128" s="32"/>
    </row>
    <row r="129" spans="2:12" ht="54.95" customHeight="1" x14ac:dyDescent="0.2">
      <c r="B129" s="1077" t="s">
        <v>385</v>
      </c>
      <c r="C129" s="1079"/>
      <c r="D129" s="32"/>
    </row>
    <row r="130" spans="2:12" x14ac:dyDescent="0.2">
      <c r="B130" s="1123" t="s">
        <v>95</v>
      </c>
      <c r="C130" s="1124"/>
      <c r="D130" s="32"/>
    </row>
    <row r="131" spans="2:12" x14ac:dyDescent="0.2">
      <c r="B131" s="1125">
        <v>0.05</v>
      </c>
      <c r="C131" s="1126"/>
      <c r="D131" s="32"/>
    </row>
    <row r="132" spans="2:12" x14ac:dyDescent="0.2">
      <c r="B132" s="1125">
        <v>0.2</v>
      </c>
      <c r="C132" s="1126"/>
      <c r="D132" s="32"/>
    </row>
    <row r="133" spans="2:12" x14ac:dyDescent="0.2">
      <c r="B133" s="1125">
        <v>0.3</v>
      </c>
      <c r="C133" s="1126"/>
      <c r="D133" s="32"/>
    </row>
    <row r="134" spans="2:12" x14ac:dyDescent="0.2">
      <c r="D134" s="32"/>
    </row>
    <row r="135" spans="2:12" x14ac:dyDescent="0.2">
      <c r="B135" s="267" t="s">
        <v>288</v>
      </c>
      <c r="C135" s="1120" t="s">
        <v>287</v>
      </c>
      <c r="D135" s="1121"/>
      <c r="E135" s="1121"/>
      <c r="F135" s="1121"/>
      <c r="G135" s="1122"/>
      <c r="H135" s="532"/>
      <c r="I135" s="532"/>
      <c r="J135" s="532"/>
      <c r="K135" s="532"/>
      <c r="L135" s="532"/>
    </row>
    <row r="136" spans="2:12" x14ac:dyDescent="0.2">
      <c r="B136" s="1118" t="s">
        <v>289</v>
      </c>
      <c r="C136" s="1118"/>
      <c r="D136" s="1118"/>
      <c r="E136" s="1118"/>
      <c r="F136" s="1118"/>
      <c r="G136" s="1118"/>
    </row>
    <row r="137" spans="2:12" x14ac:dyDescent="0.2">
      <c r="B137" s="1119"/>
      <c r="C137" s="1119"/>
      <c r="D137" s="1119"/>
      <c r="E137" s="1119"/>
      <c r="F137" s="1119"/>
      <c r="G137" s="1119"/>
    </row>
    <row r="138" spans="2:12" ht="25.5" x14ac:dyDescent="0.2">
      <c r="B138" s="198" t="s">
        <v>66</v>
      </c>
      <c r="C138" s="198" t="s">
        <v>7</v>
      </c>
      <c r="D138" s="198" t="s">
        <v>79</v>
      </c>
      <c r="E138" s="198" t="s">
        <v>8</v>
      </c>
      <c r="F138" s="198" t="s">
        <v>5</v>
      </c>
      <c r="G138" s="198" t="s">
        <v>0</v>
      </c>
    </row>
    <row r="139" spans="2:12" x14ac:dyDescent="0.2">
      <c r="B139" s="212" t="s">
        <v>9</v>
      </c>
      <c r="C139" s="213">
        <v>0</v>
      </c>
      <c r="D139" s="214">
        <v>5</v>
      </c>
      <c r="E139" s="215">
        <v>0</v>
      </c>
      <c r="F139" s="216">
        <v>6</v>
      </c>
      <c r="G139" s="217">
        <v>5</v>
      </c>
    </row>
    <row r="140" spans="2:12" x14ac:dyDescent="0.2">
      <c r="B140" s="218" t="s">
        <v>10</v>
      </c>
      <c r="C140" s="219">
        <f t="shared" ref="C140:C149" si="0">D139+0.0000001</f>
        <v>5.0000001000000003</v>
      </c>
      <c r="D140" s="220">
        <v>10</v>
      </c>
      <c r="E140" s="221">
        <v>5</v>
      </c>
      <c r="F140" s="222">
        <v>6</v>
      </c>
      <c r="G140" s="223">
        <v>5</v>
      </c>
    </row>
    <row r="141" spans="2:12" x14ac:dyDescent="0.2">
      <c r="B141" s="218" t="s">
        <v>11</v>
      </c>
      <c r="C141" s="219">
        <f t="shared" si="0"/>
        <v>10.000000099999999</v>
      </c>
      <c r="D141" s="220">
        <v>15</v>
      </c>
      <c r="E141" s="221">
        <v>10</v>
      </c>
      <c r="F141" s="222">
        <v>6</v>
      </c>
      <c r="G141" s="223">
        <v>5</v>
      </c>
    </row>
    <row r="142" spans="2:12" x14ac:dyDescent="0.2">
      <c r="B142" s="218" t="s">
        <v>12</v>
      </c>
      <c r="C142" s="219">
        <f t="shared" si="0"/>
        <v>15.000000099999999</v>
      </c>
      <c r="D142" s="220">
        <v>20</v>
      </c>
      <c r="E142" s="221">
        <v>15</v>
      </c>
      <c r="F142" s="222">
        <v>8</v>
      </c>
      <c r="G142" s="223">
        <v>6</v>
      </c>
    </row>
    <row r="143" spans="2:12" x14ac:dyDescent="0.2">
      <c r="B143" s="218" t="s">
        <v>13</v>
      </c>
      <c r="C143" s="219">
        <f t="shared" si="0"/>
        <v>20.000000100000001</v>
      </c>
      <c r="D143" s="220">
        <v>25</v>
      </c>
      <c r="E143" s="221">
        <v>20</v>
      </c>
      <c r="F143" s="222">
        <v>8</v>
      </c>
      <c r="G143" s="223">
        <v>6</v>
      </c>
    </row>
    <row r="144" spans="2:12" x14ac:dyDescent="0.2">
      <c r="B144" s="218" t="s">
        <v>14</v>
      </c>
      <c r="C144" s="219">
        <f t="shared" si="0"/>
        <v>25.000000100000001</v>
      </c>
      <c r="D144" s="220">
        <v>30</v>
      </c>
      <c r="E144" s="221">
        <v>25</v>
      </c>
      <c r="F144" s="222">
        <v>8</v>
      </c>
      <c r="G144" s="223">
        <v>6</v>
      </c>
    </row>
    <row r="145" spans="2:7" x14ac:dyDescent="0.2">
      <c r="B145" s="218" t="s">
        <v>15</v>
      </c>
      <c r="C145" s="219">
        <f t="shared" si="0"/>
        <v>30.000000100000001</v>
      </c>
      <c r="D145" s="220">
        <v>35</v>
      </c>
      <c r="E145" s="221">
        <v>30</v>
      </c>
      <c r="F145" s="222">
        <v>8</v>
      </c>
      <c r="G145" s="223">
        <v>6</v>
      </c>
    </row>
    <row r="146" spans="2:7" x14ac:dyDescent="0.2">
      <c r="B146" s="218" t="s">
        <v>16</v>
      </c>
      <c r="C146" s="219">
        <f t="shared" si="0"/>
        <v>35.000000100000001</v>
      </c>
      <c r="D146" s="220">
        <v>40</v>
      </c>
      <c r="E146" s="221">
        <v>35</v>
      </c>
      <c r="F146" s="222">
        <v>8</v>
      </c>
      <c r="G146" s="223">
        <v>6</v>
      </c>
    </row>
    <row r="147" spans="2:7" x14ac:dyDescent="0.2">
      <c r="B147" s="218" t="s">
        <v>17</v>
      </c>
      <c r="C147" s="219">
        <f t="shared" si="0"/>
        <v>40.000000100000001</v>
      </c>
      <c r="D147" s="220">
        <v>45</v>
      </c>
      <c r="E147" s="221">
        <v>40</v>
      </c>
      <c r="F147" s="222">
        <v>18</v>
      </c>
      <c r="G147" s="223">
        <v>10</v>
      </c>
    </row>
    <row r="148" spans="2:7" x14ac:dyDescent="0.2">
      <c r="B148" s="218" t="s">
        <v>18</v>
      </c>
      <c r="C148" s="219">
        <f t="shared" si="0"/>
        <v>45.000000100000001</v>
      </c>
      <c r="D148" s="220">
        <v>50</v>
      </c>
      <c r="E148" s="221">
        <v>45</v>
      </c>
      <c r="F148" s="222">
        <v>18</v>
      </c>
      <c r="G148" s="223">
        <v>10</v>
      </c>
    </row>
    <row r="149" spans="2:7" ht="12.75" customHeight="1" x14ac:dyDescent="0.2">
      <c r="B149" s="224" t="s">
        <v>19</v>
      </c>
      <c r="C149" s="225">
        <f t="shared" si="0"/>
        <v>50.000000100000001</v>
      </c>
      <c r="D149" s="226">
        <v>999999</v>
      </c>
      <c r="E149" s="227">
        <v>50</v>
      </c>
      <c r="F149" s="228">
        <v>18</v>
      </c>
      <c r="G149" s="229">
        <v>10</v>
      </c>
    </row>
    <row r="150" spans="2:7" ht="12.75" customHeight="1" x14ac:dyDescent="0.2">
      <c r="B150" s="1118" t="s">
        <v>290</v>
      </c>
      <c r="C150" s="1118"/>
      <c r="D150" s="1118"/>
      <c r="E150" s="1118"/>
      <c r="F150" s="1118"/>
      <c r="G150" s="1118"/>
    </row>
    <row r="151" spans="2:7" x14ac:dyDescent="0.2">
      <c r="B151" s="1119"/>
      <c r="C151" s="1119"/>
      <c r="D151" s="1119"/>
      <c r="E151" s="1119"/>
      <c r="F151" s="1119"/>
      <c r="G151" s="1119"/>
    </row>
    <row r="152" spans="2:7" ht="25.5" x14ac:dyDescent="0.2">
      <c r="B152" s="198" t="s">
        <v>66</v>
      </c>
      <c r="C152" s="198" t="s">
        <v>7</v>
      </c>
      <c r="D152" s="198" t="s">
        <v>79</v>
      </c>
      <c r="E152" s="198" t="s">
        <v>8</v>
      </c>
      <c r="F152" s="198" t="s">
        <v>5</v>
      </c>
      <c r="G152" s="198" t="s">
        <v>0</v>
      </c>
    </row>
    <row r="153" spans="2:7" x14ac:dyDescent="0.2">
      <c r="B153" s="212" t="s">
        <v>9</v>
      </c>
      <c r="C153" s="533">
        <v>0</v>
      </c>
      <c r="D153" s="534">
        <v>5</v>
      </c>
      <c r="E153" s="215">
        <v>0</v>
      </c>
      <c r="F153" s="215">
        <v>7</v>
      </c>
      <c r="G153" s="535">
        <v>5</v>
      </c>
    </row>
    <row r="154" spans="2:7" x14ac:dyDescent="0.2">
      <c r="B154" s="536" t="s">
        <v>10</v>
      </c>
      <c r="C154" s="537">
        <f t="shared" ref="C154:C163" si="1">D153+0.0000001</f>
        <v>5.0000001000000003</v>
      </c>
      <c r="D154" s="538">
        <v>10</v>
      </c>
      <c r="E154" s="221">
        <v>5</v>
      </c>
      <c r="F154" s="221">
        <v>7</v>
      </c>
      <c r="G154" s="539">
        <v>5</v>
      </c>
    </row>
    <row r="155" spans="2:7" x14ac:dyDescent="0.2">
      <c r="B155" s="536" t="s">
        <v>11</v>
      </c>
      <c r="C155" s="537">
        <f t="shared" si="1"/>
        <v>10.000000099999999</v>
      </c>
      <c r="D155" s="538">
        <v>15</v>
      </c>
      <c r="E155" s="221">
        <v>10</v>
      </c>
      <c r="F155" s="221">
        <v>7</v>
      </c>
      <c r="G155" s="539">
        <v>5</v>
      </c>
    </row>
    <row r="156" spans="2:7" x14ac:dyDescent="0.2">
      <c r="B156" s="536" t="s">
        <v>12</v>
      </c>
      <c r="C156" s="537">
        <f t="shared" si="1"/>
        <v>15.000000099999999</v>
      </c>
      <c r="D156" s="538">
        <v>20</v>
      </c>
      <c r="E156" s="221">
        <v>15</v>
      </c>
      <c r="F156" s="221">
        <v>10</v>
      </c>
      <c r="G156" s="539">
        <v>6</v>
      </c>
    </row>
    <row r="157" spans="2:7" x14ac:dyDescent="0.2">
      <c r="B157" s="536" t="s">
        <v>13</v>
      </c>
      <c r="C157" s="537">
        <f t="shared" si="1"/>
        <v>20.000000100000001</v>
      </c>
      <c r="D157" s="538">
        <v>25</v>
      </c>
      <c r="E157" s="221">
        <v>20</v>
      </c>
      <c r="F157" s="221">
        <v>10</v>
      </c>
      <c r="G157" s="539">
        <v>6</v>
      </c>
    </row>
    <row r="158" spans="2:7" x14ac:dyDescent="0.2">
      <c r="B158" s="536" t="s">
        <v>14</v>
      </c>
      <c r="C158" s="537">
        <f t="shared" si="1"/>
        <v>25.000000100000001</v>
      </c>
      <c r="D158" s="538">
        <v>30</v>
      </c>
      <c r="E158" s="221">
        <v>25</v>
      </c>
      <c r="F158" s="221">
        <v>10</v>
      </c>
      <c r="G158" s="539">
        <v>6</v>
      </c>
    </row>
    <row r="159" spans="2:7" x14ac:dyDescent="0.2">
      <c r="B159" s="536" t="s">
        <v>15</v>
      </c>
      <c r="C159" s="537">
        <f t="shared" si="1"/>
        <v>30.000000100000001</v>
      </c>
      <c r="D159" s="538">
        <v>35</v>
      </c>
      <c r="E159" s="221">
        <v>30</v>
      </c>
      <c r="F159" s="221">
        <v>10</v>
      </c>
      <c r="G159" s="539">
        <v>6</v>
      </c>
    </row>
    <row r="160" spans="2:7" x14ac:dyDescent="0.2">
      <c r="B160" s="536" t="s">
        <v>16</v>
      </c>
      <c r="C160" s="537">
        <f t="shared" si="1"/>
        <v>35.000000100000001</v>
      </c>
      <c r="D160" s="538">
        <v>40</v>
      </c>
      <c r="E160" s="221">
        <v>35</v>
      </c>
      <c r="F160" s="221">
        <v>10</v>
      </c>
      <c r="G160" s="539">
        <v>6</v>
      </c>
    </row>
    <row r="161" spans="2:7" x14ac:dyDescent="0.2">
      <c r="B161" s="536" t="s">
        <v>17</v>
      </c>
      <c r="C161" s="537">
        <f t="shared" si="1"/>
        <v>40.000000100000001</v>
      </c>
      <c r="D161" s="538">
        <v>45</v>
      </c>
      <c r="E161" s="221">
        <v>40</v>
      </c>
      <c r="F161" s="221">
        <v>20</v>
      </c>
      <c r="G161" s="539">
        <v>15</v>
      </c>
    </row>
    <row r="162" spans="2:7" x14ac:dyDescent="0.2">
      <c r="B162" s="536" t="s">
        <v>18</v>
      </c>
      <c r="C162" s="537">
        <f t="shared" si="1"/>
        <v>45.000000100000001</v>
      </c>
      <c r="D162" s="538">
        <v>50</v>
      </c>
      <c r="E162" s="221">
        <v>45</v>
      </c>
      <c r="F162" s="221">
        <v>20</v>
      </c>
      <c r="G162" s="539">
        <v>15</v>
      </c>
    </row>
    <row r="163" spans="2:7" x14ac:dyDescent="0.2">
      <c r="B163" s="540" t="s">
        <v>19</v>
      </c>
      <c r="C163" s="541">
        <f t="shared" si="1"/>
        <v>50.000000100000001</v>
      </c>
      <c r="D163" s="542">
        <v>999999</v>
      </c>
      <c r="E163" s="227">
        <v>50</v>
      </c>
      <c r="F163" s="227">
        <v>20</v>
      </c>
      <c r="G163" s="543">
        <v>15</v>
      </c>
    </row>
    <row r="164" spans="2:7" x14ac:dyDescent="0.2"/>
    <row r="197" x14ac:dyDescent="0.2"/>
    <row r="198" x14ac:dyDescent="0.2"/>
    <row r="199" x14ac:dyDescent="0.2"/>
  </sheetData>
  <sheetProtection password="83CC" sheet="1" objects="1" scenarios="1" formatColumns="0" formatRows="0" insertRows="0"/>
  <mergeCells count="96">
    <mergeCell ref="B110:C110"/>
    <mergeCell ref="C92:D92"/>
    <mergeCell ref="C87:D87"/>
    <mergeCell ref="B123:C123"/>
    <mergeCell ref="B125:C125"/>
    <mergeCell ref="B106:C106"/>
    <mergeCell ref="C96:D96"/>
    <mergeCell ref="C100:D100"/>
    <mergeCell ref="C98:D98"/>
    <mergeCell ref="B103:C103"/>
    <mergeCell ref="C99:D99"/>
    <mergeCell ref="B120:C120"/>
    <mergeCell ref="B119:C119"/>
    <mergeCell ref="B122:C122"/>
    <mergeCell ref="B102:C102"/>
    <mergeCell ref="C97:D97"/>
    <mergeCell ref="B150:G151"/>
    <mergeCell ref="B118:C118"/>
    <mergeCell ref="B114:C114"/>
    <mergeCell ref="B136:G137"/>
    <mergeCell ref="C135:G135"/>
    <mergeCell ref="B129:C129"/>
    <mergeCell ref="B130:C130"/>
    <mergeCell ref="B132:C132"/>
    <mergeCell ref="B133:C133"/>
    <mergeCell ref="B131:C131"/>
    <mergeCell ref="B104:C104"/>
    <mergeCell ref="B19:B21"/>
    <mergeCell ref="B28:B30"/>
    <mergeCell ref="C88:D88"/>
    <mergeCell ref="C57:L57"/>
    <mergeCell ref="C78:L78"/>
    <mergeCell ref="C71:L71"/>
    <mergeCell ref="B34:B36"/>
    <mergeCell ref="C89:D89"/>
    <mergeCell ref="C58:L58"/>
    <mergeCell ref="C67:L67"/>
    <mergeCell ref="C81:L81"/>
    <mergeCell ref="C84:L84"/>
    <mergeCell ref="C65:L65"/>
    <mergeCell ref="C95:D95"/>
    <mergeCell ref="B94:L94"/>
    <mergeCell ref="AC2:AD2"/>
    <mergeCell ref="C82:L82"/>
    <mergeCell ref="C83:L83"/>
    <mergeCell ref="AA2:AB2"/>
    <mergeCell ref="M2:N2"/>
    <mergeCell ref="Q2:R2"/>
    <mergeCell ref="C74:L74"/>
    <mergeCell ref="Y2:Z2"/>
    <mergeCell ref="C80:L80"/>
    <mergeCell ref="C63:L63"/>
    <mergeCell ref="O2:P2"/>
    <mergeCell ref="C59:L59"/>
    <mergeCell ref="C60:L60"/>
    <mergeCell ref="C68:L68"/>
    <mergeCell ref="C54:L54"/>
    <mergeCell ref="C55:L55"/>
    <mergeCell ref="W2:X2"/>
    <mergeCell ref="B51:L51"/>
    <mergeCell ref="B86:L86"/>
    <mergeCell ref="C79:L79"/>
    <mergeCell ref="C75:L75"/>
    <mergeCell ref="B70:L70"/>
    <mergeCell ref="C76:L76"/>
    <mergeCell ref="B22:B24"/>
    <mergeCell ref="U2:V2"/>
    <mergeCell ref="B4:B6"/>
    <mergeCell ref="C61:L61"/>
    <mergeCell ref="B7:B9"/>
    <mergeCell ref="B10:B12"/>
    <mergeCell ref="B13:B15"/>
    <mergeCell ref="B37:B39"/>
    <mergeCell ref="B16:B18"/>
    <mergeCell ref="C91:D91"/>
    <mergeCell ref="C90:D90"/>
    <mergeCell ref="C72:L72"/>
    <mergeCell ref="C73:L73"/>
    <mergeCell ref="B31:B33"/>
    <mergeCell ref="C77:L77"/>
    <mergeCell ref="C53:L53"/>
    <mergeCell ref="C64:L64"/>
    <mergeCell ref="C66:L66"/>
    <mergeCell ref="C62:L62"/>
    <mergeCell ref="B25:B27"/>
    <mergeCell ref="C52:L52"/>
    <mergeCell ref="C56:L56"/>
    <mergeCell ref="S2:T2"/>
    <mergeCell ref="B40:B42"/>
    <mergeCell ref="B43:B45"/>
    <mergeCell ref="I2:J2"/>
    <mergeCell ref="B46:B48"/>
    <mergeCell ref="K2:L2"/>
    <mergeCell ref="E2:F2"/>
    <mergeCell ref="C2:D2"/>
    <mergeCell ref="G2:H2"/>
  </mergeCells>
  <dataValidations disablePrompts="1" count="2">
    <dataValidation type="list" allowBlank="1" showInputMessage="1" showErrorMessage="1" sqref="C135:G135" xr:uid="{00000000-0002-0000-0B00-000000000000}">
      <formula1>"Comune con meno di 50.000 abitanti,Comune con più di 50.000 abitanti"</formula1>
    </dataValidation>
    <dataValidation type="whole" allowBlank="1" showInputMessage="1" showErrorMessage="1" promptTitle="ATTENZIONE!" prompt="Il valore percentuale deve essere compreso tra un minimo di 50 e un massimo di 100!" sqref="B120:C120" xr:uid="{00000000-0002-0000-0B00-000001000000}">
      <formula1>50</formula1>
      <formula2>100</formula2>
    </dataValidation>
  </dataValidations>
  <pageMargins left="0.65811023622047249" right="0.11811023622047245" top="0.35433070866141736" bottom="0.35433070866141736" header="0.31496062992125984" footer="0.31496062992125984"/>
  <pageSetup paperSize="9" scale="48" orientation="landscape"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Foglio10"/>
  <dimension ref="A1:W2"/>
  <sheetViews>
    <sheetView workbookViewId="0"/>
  </sheetViews>
  <sheetFormatPr defaultRowHeight="12.75" x14ac:dyDescent="0.2"/>
  <cols>
    <col min="1" max="1" width="13.5703125" bestFit="1" customWidth="1"/>
    <col min="2" max="2" width="15.28515625" bestFit="1" customWidth="1"/>
    <col min="3" max="3" width="13.5703125" bestFit="1" customWidth="1"/>
    <col min="4" max="9" width="13.5703125" customWidth="1"/>
    <col min="10" max="10" width="10.5703125" bestFit="1" customWidth="1"/>
    <col min="11" max="11" width="11.42578125" bestFit="1" customWidth="1"/>
    <col min="12" max="12" width="14" customWidth="1"/>
    <col min="13" max="13" width="10.7109375" bestFit="1" customWidth="1"/>
    <col min="14" max="14" width="10.7109375" customWidth="1"/>
    <col min="15" max="15" width="15.5703125" customWidth="1"/>
    <col min="16" max="16" width="13.140625" customWidth="1"/>
    <col min="17" max="17" width="15.7109375" customWidth="1"/>
    <col min="18" max="18" width="13.140625" bestFit="1" customWidth="1"/>
    <col min="19" max="19" width="13.140625" customWidth="1"/>
    <col min="20" max="20" width="13" customWidth="1"/>
    <col min="21" max="21" width="14.28515625" bestFit="1" customWidth="1"/>
    <col min="22" max="22" width="13.7109375" customWidth="1"/>
    <col min="23" max="23" width="14.140625" bestFit="1" customWidth="1"/>
  </cols>
  <sheetData>
    <row r="1" spans="1:23" ht="51" x14ac:dyDescent="0.2">
      <c r="A1" s="39" t="s">
        <v>146</v>
      </c>
      <c r="B1" s="39" t="s">
        <v>147</v>
      </c>
      <c r="C1" s="39" t="s">
        <v>152</v>
      </c>
      <c r="D1" s="39" t="s">
        <v>154</v>
      </c>
      <c r="E1" s="39" t="s">
        <v>151</v>
      </c>
      <c r="F1" s="39" t="s">
        <v>383</v>
      </c>
      <c r="G1" s="39" t="s">
        <v>384</v>
      </c>
      <c r="H1" s="39" t="s">
        <v>353</v>
      </c>
      <c r="I1" s="2" t="s">
        <v>150</v>
      </c>
      <c r="J1" s="39" t="s">
        <v>78</v>
      </c>
      <c r="K1" s="2" t="s">
        <v>84</v>
      </c>
      <c r="L1" s="2" t="s">
        <v>328</v>
      </c>
      <c r="M1" s="2" t="s">
        <v>148</v>
      </c>
      <c r="N1" s="2" t="s">
        <v>326</v>
      </c>
      <c r="O1" s="2" t="s">
        <v>94</v>
      </c>
      <c r="P1" s="2" t="s">
        <v>110</v>
      </c>
      <c r="Q1" s="2" t="s">
        <v>96</v>
      </c>
      <c r="R1" s="39" t="s">
        <v>162</v>
      </c>
      <c r="S1" s="39" t="s">
        <v>388</v>
      </c>
      <c r="T1" s="39" t="s">
        <v>153</v>
      </c>
      <c r="U1" s="39" t="s">
        <v>208</v>
      </c>
      <c r="V1" s="2" t="s">
        <v>80</v>
      </c>
      <c r="W1" s="2" t="s">
        <v>106</v>
      </c>
    </row>
    <row r="2" spans="1:23" x14ac:dyDescent="0.2">
      <c r="A2" s="1">
        <f>ROUND(Riepilogo_OneriUrbPrim,2)</f>
        <v>0</v>
      </c>
      <c r="B2" s="1">
        <f>ROUND(Riepilogo_OneriSecPrim,2)</f>
        <v>0</v>
      </c>
      <c r="C2" s="1">
        <f>ROUND((Riepilogo_OneriUrbPrim+Riepilogo_OneriSecPrim),2)</f>
        <v>0</v>
      </c>
      <c r="D2" s="1">
        <f>ROUND(Oneri_Urb_Prim_Corrisposti,2)</f>
        <v>0</v>
      </c>
      <c r="E2" s="1">
        <f>ROUND(Oneri_Urb_Sec_Corrisposti,2)</f>
        <v>0</v>
      </c>
      <c r="F2" s="1">
        <f>ROUND(OpereUrbPrimRealizzate,2)</f>
        <v>0</v>
      </c>
      <c r="G2" s="1">
        <f>ROUND(OpereUrbSecRealizzate,2)</f>
        <v>0</v>
      </c>
      <c r="H2" s="1">
        <f>ROUND(SmaltimRif_Corrisposti,2)</f>
        <v>0</v>
      </c>
      <c r="I2" s="1">
        <f>ROUND(Costo_costruzione_Corrisposto+CostoCostr_Prog_StFatto_corrisposto,2)</f>
        <v>0</v>
      </c>
      <c r="J2" s="1">
        <f ca="1">ROUND(Riepilogo_CostoCostruzione_totale,2)</f>
        <v>0</v>
      </c>
      <c r="K2" s="1">
        <f>ROUND(Riepilogo_Cc_OneriSmaltRifiutiRif,2)</f>
        <v>0</v>
      </c>
      <c r="L2" s="1">
        <f>ROUND(Riepilogo_OneriUrbPrim+Riepilogo_OneriSecPrim+Riepilogo_Cc_OneriSmaltRifiutiRif,2)</f>
        <v>0</v>
      </c>
      <c r="M2" s="182">
        <f>ROUND(Riepilogo_Sanzione,2)</f>
        <v>0</v>
      </c>
      <c r="N2" s="182">
        <f>ROUND(Riepilogo_Oblazione,2)</f>
        <v>0</v>
      </c>
      <c r="O2" s="1">
        <f>ROUND(Riepilogo_MaggOneriUrbPrimSott,2)</f>
        <v>0</v>
      </c>
      <c r="P2" s="1">
        <f>ROUND(Riepilogo_MaggOneriUrbSecSott,2)</f>
        <v>0</v>
      </c>
      <c r="Q2" s="1">
        <f ca="1">ROUND(Riepilogo_MaggCostoCostSott,2)</f>
        <v>0</v>
      </c>
      <c r="R2" s="1">
        <f>ROUND(Riepilogo_OnUrb_AltriCosti_ValoreMaggCostoCAreeAgr+Riepilogo_CC_AltriCosti_ValoreMaggCostoCAreeAgr,2)</f>
        <v>0</v>
      </c>
      <c r="S2" s="1">
        <f>ROUND(Riepilogo_MaggCostoCostConsumoSuolo+Riepilogo_MaggCostoStFattoCostConsumoSuolo,2)</f>
        <v>0</v>
      </c>
      <c r="T2" s="1">
        <f ca="1">ROUND(Riepilogo_Contributo_costruzione,2)</f>
        <v>0</v>
      </c>
      <c r="U2" s="1">
        <f ca="1">ROUND(Riepilogo_ContCostCompresaMagg,2)</f>
        <v>0</v>
      </c>
      <c r="V2" s="1">
        <f>ROUND(Riepilogo_MonetizzParcheggi,2)</f>
        <v>0</v>
      </c>
      <c r="W2" s="1">
        <f>ROUND(Riepilogo_MonetizzAreeStand,2)</f>
        <v>0</v>
      </c>
    </row>
  </sheetData>
  <sheetProtection password="83CC" sheet="1" objects="1" scenarios="1" formatColumns="0" formatRows="0" insertRows="0"/>
  <phoneticPr fontId="4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6">
    <pageSetUpPr fitToPage="1"/>
  </sheetPr>
  <dimension ref="A1:IS169"/>
  <sheetViews>
    <sheetView showGridLines="0" showZeros="0" zoomScaleNormal="100" workbookViewId="0"/>
  </sheetViews>
  <sheetFormatPr defaultColWidth="0" defaultRowHeight="12.75" zeroHeight="1" x14ac:dyDescent="0.2"/>
  <cols>
    <col min="1" max="1" width="5.7109375" customWidth="1"/>
    <col min="2" max="2" width="47.42578125" customWidth="1"/>
    <col min="3" max="3" width="34.5703125" customWidth="1"/>
    <col min="4" max="4" width="12.42578125" customWidth="1"/>
    <col min="5" max="5" width="15.140625" customWidth="1"/>
    <col min="6" max="6" width="2" customWidth="1"/>
    <col min="7" max="7" width="18.7109375" customWidth="1"/>
    <col min="8" max="8" width="2.28515625" hidden="1" customWidth="1"/>
    <col min="9" max="9" width="9.140625" hidden="1" customWidth="1"/>
    <col min="254" max="254" width="14.28515625" hidden="1" customWidth="1"/>
    <col min="255" max="16384" width="14.28515625" hidden="1"/>
  </cols>
  <sheetData>
    <row r="1" spans="1:7" ht="12.75" customHeight="1" thickBot="1" x14ac:dyDescent="0.25"/>
    <row r="2" spans="1:7" ht="15" customHeight="1" x14ac:dyDescent="0.2">
      <c r="A2" s="30"/>
      <c r="B2" s="788" t="s">
        <v>185</v>
      </c>
      <c r="C2" s="789"/>
      <c r="D2" s="789"/>
      <c r="E2" s="789"/>
      <c r="F2" s="790"/>
    </row>
    <row r="3" spans="1:7" ht="12.75" customHeight="1" x14ac:dyDescent="0.2">
      <c r="A3" s="29"/>
      <c r="B3" s="782" t="s">
        <v>175</v>
      </c>
      <c r="C3" s="783"/>
      <c r="D3" s="783"/>
      <c r="E3" s="783"/>
      <c r="F3" s="784"/>
      <c r="G3" s="28"/>
    </row>
    <row r="4" spans="1:7" ht="12.75" customHeight="1" x14ac:dyDescent="0.2">
      <c r="A4" s="29"/>
      <c r="B4" s="778" t="s">
        <v>291</v>
      </c>
      <c r="C4" s="779"/>
      <c r="D4" s="63"/>
      <c r="E4" s="64">
        <f>ROUND(ImportoOneriUrb1-Riepilogo_OneriUrbPrimSott,2)</f>
        <v>0</v>
      </c>
      <c r="F4" s="44"/>
    </row>
    <row r="5" spans="1:7" ht="12.75" customHeight="1" x14ac:dyDescent="0.2">
      <c r="A5" s="29"/>
      <c r="B5" s="544" t="s">
        <v>292</v>
      </c>
      <c r="C5" s="545"/>
      <c r="D5" s="63"/>
      <c r="E5" s="64">
        <f>IF(ImportoOneriUrbanizzazione_NuovaDest&gt;0,ImportoOneriUrb1_NuovaDest,0)</f>
        <v>0</v>
      </c>
      <c r="F5" s="44"/>
    </row>
    <row r="6" spans="1:7" ht="12.75" customHeight="1" x14ac:dyDescent="0.2">
      <c r="A6" s="29"/>
      <c r="B6" s="776" t="s">
        <v>343</v>
      </c>
      <c r="C6" s="777"/>
      <c r="D6" s="63"/>
      <c r="E6" s="65">
        <f>ImportoOneriUrbRecSottPrimaria</f>
        <v>0</v>
      </c>
      <c r="F6" s="44"/>
    </row>
    <row r="7" spans="1:7" ht="12.75" customHeight="1" x14ac:dyDescent="0.2">
      <c r="A7" s="29"/>
      <c r="B7" s="776" t="s">
        <v>176</v>
      </c>
      <c r="C7" s="777"/>
      <c r="D7" s="63" t="str">
        <f>IF(Riepilogo_MaggOneriUrbPrimSott&gt;0,IF(Parametri_MaggiorazioneSottotetti&gt;0, TEXT(Parametri_MaggiorazioneSottotetti,"0%"),"Nessuna"),"")</f>
        <v/>
      </c>
      <c r="E7" s="64">
        <f>CC_AltriCosti_ValoreMaggOnPrimRecSott</f>
        <v>0</v>
      </c>
      <c r="F7" s="44"/>
      <c r="G7" s="639" t="s">
        <v>269</v>
      </c>
    </row>
    <row r="8" spans="1:7" ht="12.75" customHeight="1" x14ac:dyDescent="0.2">
      <c r="A8" s="29"/>
      <c r="B8" s="778" t="s">
        <v>178</v>
      </c>
      <c r="C8" s="779"/>
      <c r="D8" s="63" t="str">
        <f>IF(Riepilogo_RiduPianoCasaOneriUrbPrim&gt;0,IF(Par_PianoCasa_Rid&gt;0, TEXT(Par_PianoCasa_Rid,"0%")&amp;" a dedurre","Nessuna"),"")</f>
        <v/>
      </c>
      <c r="E8" s="64">
        <f>OnPrim_RiduzionePianoCasa</f>
        <v>0</v>
      </c>
      <c r="F8" s="47"/>
    </row>
    <row r="9" spans="1:7" ht="12.75" customHeight="1" x14ac:dyDescent="0.2">
      <c r="A9" s="29"/>
      <c r="B9" s="776" t="s">
        <v>338</v>
      </c>
      <c r="C9" s="777"/>
      <c r="D9" s="63"/>
      <c r="E9" s="65">
        <f>OnPrim_RiduzioneSostituzione</f>
        <v>0</v>
      </c>
      <c r="F9" s="47"/>
    </row>
    <row r="10" spans="1:7" ht="12.75" customHeight="1" x14ac:dyDescent="0.2">
      <c r="A10" s="29"/>
      <c r="B10" s="776" t="s">
        <v>351</v>
      </c>
      <c r="C10" s="777"/>
      <c r="D10" s="63" t="str">
        <f>IF(Riepilogo_RiduDensificazioneOneriUrbPrim&gt;0,IF(Par_Rid_Densificazione_Oneri&gt;0, TEXT(Par_Rid_Densificazione_Oneri,"0%")&amp;" a dedurre","Nessuna"),"")</f>
        <v/>
      </c>
      <c r="E10" s="65">
        <f>OnPrim_RiduzioneDensificazione</f>
        <v>0</v>
      </c>
      <c r="F10" s="47"/>
    </row>
    <row r="11" spans="1:7" ht="12.75" customHeight="1" x14ac:dyDescent="0.2">
      <c r="A11" s="29"/>
      <c r="B11" s="778" t="str">
        <f>"Riduzione per risparmio energetico"</f>
        <v>Riduzione per risparmio energetico</v>
      </c>
      <c r="C11" s="779"/>
      <c r="D11" s="63" t="str">
        <f>IF(DescInt_RisparmioPercent&gt;0,IF(DescInt_RisparmioPercent&gt;0, TEXT(DescInt_RisparmioPercent,"0%")&amp;" a dedurre","Nessuna"),"")</f>
        <v/>
      </c>
      <c r="E11" s="65">
        <f>OnPrim_RiduzioneRispEnerg</f>
        <v>0</v>
      </c>
      <c r="F11" s="47"/>
    </row>
    <row r="12" spans="1:7" ht="12.75" customHeight="1" x14ac:dyDescent="0.2">
      <c r="A12" s="29"/>
      <c r="B12" s="776" t="s">
        <v>177</v>
      </c>
      <c r="C12" s="777"/>
      <c r="D12" s="63" t="str">
        <f>IF(Oneri_Urb_Prim_Corrisposti&gt;0," a dedurre","")</f>
        <v/>
      </c>
      <c r="E12" s="65">
        <f>Oneri_Urb_Prim_Corrisposti</f>
        <v>0</v>
      </c>
      <c r="F12" s="44"/>
      <c r="G12" s="26"/>
    </row>
    <row r="13" spans="1:7" ht="12.75" customHeight="1" x14ac:dyDescent="0.2">
      <c r="A13" s="29"/>
      <c r="B13" s="778" t="s">
        <v>381</v>
      </c>
      <c r="C13" s="785"/>
      <c r="D13" s="63"/>
      <c r="E13" s="64">
        <f>OpereUrbPrimRealizzate</f>
        <v>0</v>
      </c>
      <c r="F13" s="44"/>
      <c r="G13" s="26"/>
    </row>
    <row r="14" spans="1:7" ht="12.75" customHeight="1" x14ac:dyDescent="0.2">
      <c r="A14" s="29"/>
      <c r="B14" s="780" t="s">
        <v>105</v>
      </c>
      <c r="C14" s="781"/>
      <c r="D14" s="63"/>
      <c r="E14" s="91">
        <f>Riepilogo_OneriUrbPrimEsclusoSott+Riepilogo_OneriUrbPrimCambioUso+Riepilogo_OneriUrbPrimSott+Riepilogo_MaggOneriUrbPrimSott-Riepilogo_RiduPianoCasaOneriUrbPrim-Riepilogo_RiduSostituzioneOneriUrbPrim-Riepilogo_RiduDensificazioneOneriUrbPrim-Riepilogo_RiduRispEnerOup-Riepilogo_Oneri_Urb_Prim_Corrisposti-Riepilogo_OpereUrbPrimRealizzate</f>
        <v>0</v>
      </c>
      <c r="F14" s="44"/>
      <c r="G14" s="26"/>
    </row>
    <row r="15" spans="1:7" ht="12.75" customHeight="1" x14ac:dyDescent="0.2">
      <c r="A15" s="29"/>
      <c r="B15" s="782" t="s">
        <v>183</v>
      </c>
      <c r="C15" s="783"/>
      <c r="D15" s="783"/>
      <c r="E15" s="783"/>
      <c r="F15" s="784"/>
    </row>
    <row r="16" spans="1:7" ht="12.75" customHeight="1" x14ac:dyDescent="0.2">
      <c r="A16" s="29"/>
      <c r="B16" s="778" t="s">
        <v>291</v>
      </c>
      <c r="C16" s="779"/>
      <c r="D16" s="63"/>
      <c r="E16" s="64">
        <f>ROUND(ImportoOneriUrb2-Riepilogo_OneriUrbSecSott,2)</f>
        <v>0</v>
      </c>
      <c r="F16" s="44"/>
    </row>
    <row r="17" spans="1:6" ht="12.75" customHeight="1" x14ac:dyDescent="0.2">
      <c r="A17" s="29"/>
      <c r="B17" s="544" t="s">
        <v>292</v>
      </c>
      <c r="C17" s="545"/>
      <c r="D17" s="63"/>
      <c r="E17" s="65">
        <f>IF(ImportoOneriUrbanizzazione_NuovaDest&gt;0,ImportoOneriUrb2_NuovaDest,0)</f>
        <v>0</v>
      </c>
      <c r="F17" s="44"/>
    </row>
    <row r="18" spans="1:6" ht="12.75" customHeight="1" x14ac:dyDescent="0.2">
      <c r="A18" s="29"/>
      <c r="B18" s="776" t="s">
        <v>343</v>
      </c>
      <c r="C18" s="777"/>
      <c r="D18" s="63"/>
      <c r="E18" s="65">
        <f>ImportoOneriUrbRecSottSecondaria</f>
        <v>0</v>
      </c>
      <c r="F18" s="44"/>
    </row>
    <row r="19" spans="1:6" ht="12.75" customHeight="1" x14ac:dyDescent="0.2">
      <c r="A19" s="29"/>
      <c r="B19" s="776" t="s">
        <v>176</v>
      </c>
      <c r="C19" s="777"/>
      <c r="D19" s="63" t="str">
        <f>IF(Riepilogo_MaggOneriUrbSecSott&gt;0,IF(Parametri_MaggiorazioneSottotetti&gt;0, TEXT(Parametri_MaggiorazioneSottotetti,"0%"),"Nessuna"),"")</f>
        <v/>
      </c>
      <c r="E19" s="64">
        <f>CC_AltriCosti_ValoreMaggOnRecSott</f>
        <v>0</v>
      </c>
      <c r="F19" s="44"/>
    </row>
    <row r="20" spans="1:6" ht="12.75" customHeight="1" x14ac:dyDescent="0.2">
      <c r="A20" s="29"/>
      <c r="B20" s="778" t="s">
        <v>178</v>
      </c>
      <c r="C20" s="779"/>
      <c r="D20" s="63" t="str">
        <f>IF(Riepilogo_RiduPianoCasaOneriUrbSec&gt;0,IF(Par_PianoCasa_Rid&gt;0, TEXT(Par_PianoCasa_Rid,"0%")&amp;" a dedurre","Nessuna"),"")</f>
        <v/>
      </c>
      <c r="E20" s="64">
        <f>OnSec_RiduzionePianoCasa</f>
        <v>0</v>
      </c>
      <c r="F20" s="47"/>
    </row>
    <row r="21" spans="1:6" ht="12.75" customHeight="1" x14ac:dyDescent="0.2">
      <c r="A21" s="29"/>
      <c r="B21" s="776" t="s">
        <v>338</v>
      </c>
      <c r="C21" s="777"/>
      <c r="D21" s="63"/>
      <c r="E21" s="65">
        <f>OnSec_RiduzioneSostituzione</f>
        <v>0</v>
      </c>
      <c r="F21" s="47"/>
    </row>
    <row r="22" spans="1:6" ht="12.75" customHeight="1" x14ac:dyDescent="0.2">
      <c r="A22" s="29"/>
      <c r="B22" s="776" t="s">
        <v>351</v>
      </c>
      <c r="C22" s="777"/>
      <c r="D22" s="63" t="str">
        <f>IF(Riepilogo_RiduDensificazioneOneriUrbSec&gt;0,IF(Par_Rid_Densificazione_Oneri&gt;0, TEXT(Par_Rid_Densificazione_Oneri,"0%")&amp;" a dedurre","Nessuna"),"")</f>
        <v/>
      </c>
      <c r="E22" s="65">
        <f>OnSec_RiduzioneDensificazione</f>
        <v>0</v>
      </c>
      <c r="F22" s="47"/>
    </row>
    <row r="23" spans="1:6" ht="12.75" customHeight="1" x14ac:dyDescent="0.2">
      <c r="A23" s="29"/>
      <c r="B23" s="778" t="str">
        <f>"Riduzione per risparmio energetico"</f>
        <v>Riduzione per risparmio energetico</v>
      </c>
      <c r="C23" s="779"/>
      <c r="D23" s="63" t="str">
        <f>IF(DescInt_RisparmioPercent&gt;0,IF(DescInt_RisparmioPercent&gt;0, TEXT(DescInt_RisparmioPercent,"0%")&amp;" a dedurre","Nessuna"),"")</f>
        <v/>
      </c>
      <c r="E23" s="65">
        <f>OC_RispEnerSecResid_Hide</f>
        <v>0</v>
      </c>
      <c r="F23" s="47"/>
    </row>
    <row r="24" spans="1:6" ht="12.75" customHeight="1" x14ac:dyDescent="0.2">
      <c r="A24" s="29"/>
      <c r="B24" s="776" t="s">
        <v>177</v>
      </c>
      <c r="C24" s="777"/>
      <c r="D24" s="63" t="str">
        <f>IF(Oneri_Urb_Sec_Corrisposti&gt;0," a dedurre","")</f>
        <v/>
      </c>
      <c r="E24" s="65">
        <f>Oneri_Urb_Sec_Corrisposti</f>
        <v>0</v>
      </c>
      <c r="F24" s="44"/>
    </row>
    <row r="25" spans="1:6" ht="12.75" customHeight="1" x14ac:dyDescent="0.2">
      <c r="A25" s="29"/>
      <c r="B25" s="778" t="s">
        <v>382</v>
      </c>
      <c r="C25" s="785"/>
      <c r="D25" s="63"/>
      <c r="E25" s="64">
        <f>OpereUrbSecRealizzate</f>
        <v>0</v>
      </c>
      <c r="F25" s="44"/>
    </row>
    <row r="26" spans="1:6" ht="12.75" customHeight="1" x14ac:dyDescent="0.2">
      <c r="A26" s="29"/>
      <c r="B26" s="780" t="s">
        <v>105</v>
      </c>
      <c r="C26" s="781"/>
      <c r="D26" s="63"/>
      <c r="E26" s="91">
        <f>Riepilogo_OneriUrbSecEsclusoSott+Riepilogo_OneriUrbSecCambioUso+Riepilogo_OneriUrbSecSott+Riepilogo_MaggOneriUrbSecSott-Riepilogo_RiduPianoCasaOneriUrbSec-Riepilogo_RiduSostituzioneOneriUrbSec-Riepilogo_RiduDensificazioneOneriUrbSec-Riepilogo_RiduRispEnerOus-Riepilogo_Oneri_Urb_Sec_Corrisposti-Riepilogo_OpereUrbSecRealizzate</f>
        <v>0</v>
      </c>
      <c r="F26" s="44"/>
    </row>
    <row r="27" spans="1:6" ht="12.75" customHeight="1" x14ac:dyDescent="0.2">
      <c r="A27" s="29"/>
      <c r="B27" s="782" t="s">
        <v>84</v>
      </c>
      <c r="C27" s="783"/>
      <c r="D27" s="783"/>
      <c r="E27" s="783"/>
      <c r="F27" s="784"/>
    </row>
    <row r="28" spans="1:6" ht="12.75" customHeight="1" x14ac:dyDescent="0.2">
      <c r="A28" s="29"/>
      <c r="B28" s="778" t="s">
        <v>291</v>
      </c>
      <c r="C28" s="779"/>
      <c r="D28" s="63"/>
      <c r="E28" s="64">
        <f>ImportoOneriSmaltimentoRif</f>
        <v>0</v>
      </c>
      <c r="F28" s="510"/>
    </row>
    <row r="29" spans="1:6" ht="12.75" customHeight="1" x14ac:dyDescent="0.2">
      <c r="A29" s="29"/>
      <c r="B29" s="544" t="s">
        <v>292</v>
      </c>
      <c r="C29" s="545"/>
      <c r="D29" s="63"/>
      <c r="E29" s="65">
        <f>ImportoSmaltRifiuti_NuovaDest</f>
        <v>0</v>
      </c>
      <c r="F29" s="510"/>
    </row>
    <row r="30" spans="1:6" ht="12.75" customHeight="1" x14ac:dyDescent="0.2">
      <c r="A30" s="29"/>
      <c r="B30" s="776" t="s">
        <v>177</v>
      </c>
      <c r="C30" s="777"/>
      <c r="D30" s="63"/>
      <c r="E30" s="65">
        <f>SmaltimRif_Corrisposti</f>
        <v>0</v>
      </c>
      <c r="F30" s="510"/>
    </row>
    <row r="31" spans="1:6" ht="12.75" customHeight="1" x14ac:dyDescent="0.2">
      <c r="A31" s="29"/>
      <c r="B31" s="444"/>
      <c r="C31" s="92" t="s">
        <v>105</v>
      </c>
      <c r="D31" s="63"/>
      <c r="E31" s="64">
        <f>Riepilogo_OneriSmaltRifiutiRif+Riepilogo_OneriSmaltRifiutiCambioUso-Riepilogo_SmaltimRif_Corrisposti</f>
        <v>0</v>
      </c>
      <c r="F31" s="44"/>
    </row>
    <row r="32" spans="1:6" ht="12.75" customHeight="1" x14ac:dyDescent="0.2">
      <c r="A32" s="29"/>
      <c r="B32" s="48"/>
      <c r="C32" s="66"/>
      <c r="D32" s="68"/>
      <c r="E32" s="144"/>
      <c r="F32" s="44"/>
    </row>
    <row r="33" spans="1:9" ht="12.75" customHeight="1" x14ac:dyDescent="0.2">
      <c r="A33" s="29"/>
      <c r="B33" s="786" t="s">
        <v>77</v>
      </c>
      <c r="C33" s="787"/>
      <c r="D33" s="67"/>
      <c r="E33" s="62">
        <f>ROUND(Riepilogo_OneriUrbPrim+Riepilogo_OneriSecPrim+Riepilogo_Cc_OneriSmaltRifiutiRif,2)</f>
        <v>0</v>
      </c>
      <c r="F33" s="44"/>
    </row>
    <row r="34" spans="1:9" ht="12.75" customHeight="1" x14ac:dyDescent="0.2">
      <c r="A34" s="29"/>
      <c r="B34" s="48"/>
      <c r="C34" s="46"/>
      <c r="D34" s="49"/>
      <c r="E34" s="50"/>
      <c r="F34" s="44"/>
    </row>
    <row r="35" spans="1:9" ht="12.75" customHeight="1" x14ac:dyDescent="0.2">
      <c r="A35" s="29"/>
      <c r="B35" s="782" t="s">
        <v>144</v>
      </c>
      <c r="C35" s="783"/>
      <c r="D35" s="783"/>
      <c r="E35" s="783"/>
      <c r="F35" s="784"/>
      <c r="G35" s="14"/>
      <c r="H35" s="14"/>
      <c r="I35" s="14"/>
    </row>
    <row r="36" spans="1:9" ht="12.75" customHeight="1" x14ac:dyDescent="0.2">
      <c r="A36" s="29"/>
      <c r="B36" s="778" t="s">
        <v>341</v>
      </c>
      <c r="C36" s="779"/>
      <c r="D36" s="63"/>
      <c r="E36" s="64">
        <f ca="1">CC_Residenziale+CC_CommercioTerziario</f>
        <v>0</v>
      </c>
      <c r="F36" s="44"/>
      <c r="G36" s="14"/>
      <c r="H36" s="14"/>
      <c r="I36" s="14"/>
    </row>
    <row r="37" spans="1:9" ht="12.75" customHeight="1" x14ac:dyDescent="0.2">
      <c r="A37" s="29"/>
      <c r="B37" s="776" t="s">
        <v>342</v>
      </c>
      <c r="C37" s="777"/>
      <c r="D37" s="63"/>
      <c r="E37" s="65">
        <f ca="1">cc_CostoCostRecSottProg</f>
        <v>0</v>
      </c>
      <c r="F37" s="44"/>
      <c r="G37" s="14"/>
      <c r="H37" s="14"/>
      <c r="I37" s="14"/>
    </row>
    <row r="38" spans="1:9" ht="12.75" customHeight="1" x14ac:dyDescent="0.2">
      <c r="A38" s="29"/>
      <c r="B38" s="776" t="s">
        <v>180</v>
      </c>
      <c r="C38" s="777"/>
      <c r="D38" s="63" t="str">
        <f ca="1">IF(Riepilogo_MaggCostoCostSott&gt;0,IF(Parametri_MaggiorazioneSottotettiCC&gt;0, TEXT(Parametri_MaggiorazioneSottotettiCC,"0%"),"Nessuna"),"")</f>
        <v/>
      </c>
      <c r="E38" s="64">
        <f ca="1">CC_AltriCosti_ValoreMaggCCRecSott</f>
        <v>0</v>
      </c>
      <c r="F38" s="44"/>
      <c r="G38" s="14"/>
      <c r="H38" s="14"/>
      <c r="I38" s="14"/>
    </row>
    <row r="39" spans="1:9" ht="12.75" customHeight="1" x14ac:dyDescent="0.2">
      <c r="A39" s="29"/>
      <c r="B39" s="776" t="s">
        <v>182</v>
      </c>
      <c r="C39" s="777"/>
      <c r="D39" s="63" t="str">
        <f>IF(Riepilogo_CC_RiduzionePianoCasa&gt;0,IF(Par_PianoCasa_RidCC&gt;0, TEXT(Par_PianoCasa_RidCC,"0%")&amp;" a dedurre","Nessuna"),"")</f>
        <v/>
      </c>
      <c r="E39" s="65">
        <f>CC_RiduzionePianoCasa</f>
        <v>0</v>
      </c>
      <c r="F39" s="47"/>
      <c r="G39" s="14"/>
      <c r="H39" s="14"/>
      <c r="I39" s="14"/>
    </row>
    <row r="40" spans="1:9" ht="12.75" customHeight="1" x14ac:dyDescent="0.2">
      <c r="A40" s="29"/>
      <c r="B40" s="776" t="s">
        <v>351</v>
      </c>
      <c r="C40" s="777"/>
      <c r="D40" s="63" t="str">
        <f>IF(Riepilogo_CC_RiduzioneDensificazione&gt;0,IF(Par_Rid_Densificazione_CC&gt;0, TEXT(Par_Rid_Densificazione_CC,"0%")&amp;" a dedurre","Nessuna"),"")</f>
        <v/>
      </c>
      <c r="E40" s="65">
        <f>CC_RiduzioneDensificazione</f>
        <v>0</v>
      </c>
      <c r="F40" s="47"/>
      <c r="G40" s="14"/>
      <c r="H40" s="14"/>
      <c r="I40" s="14"/>
    </row>
    <row r="41" spans="1:9" ht="12.75" customHeight="1" x14ac:dyDescent="0.2">
      <c r="A41" s="29"/>
      <c r="B41" s="776" t="s">
        <v>387</v>
      </c>
      <c r="C41" s="777"/>
      <c r="D41" s="63" t="str">
        <f>IF(ConsumoSuolo&lt;&gt;"No",IF(ConsumoSuolo&gt;0, TEXT(ConsumoSuolo,"0%"),"Nessuna"),"")</f>
        <v/>
      </c>
      <c r="E41" s="65">
        <f>CC_MaggConsumoSuolo</f>
        <v>0</v>
      </c>
      <c r="F41" s="47"/>
      <c r="G41" s="14"/>
      <c r="H41" s="14"/>
      <c r="I41" s="14"/>
    </row>
    <row r="42" spans="1:9" ht="12.75" customHeight="1" x14ac:dyDescent="0.2">
      <c r="A42" s="29"/>
      <c r="B42" s="776" t="s">
        <v>181</v>
      </c>
      <c r="C42" s="777"/>
      <c r="D42" s="63" t="str">
        <f>IF(CostoCostr_NuovaEdif_corrisposto_concessione_cong+CostoCostr_NuovaEdif_corrisposto_varianti+CostoCostr_Ristrutt_corrisposto_concessione_cong+CostoCostr_Ristrutt_corrisposto_varianti&gt;0," a dedurre","")</f>
        <v/>
      </c>
      <c r="E42" s="65">
        <f>CC_Corrisposto</f>
        <v>0</v>
      </c>
      <c r="F42" s="44"/>
      <c r="G42" s="14"/>
      <c r="H42" s="14"/>
      <c r="I42" s="14"/>
    </row>
    <row r="43" spans="1:9" ht="12.75" customHeight="1" x14ac:dyDescent="0.2">
      <c r="A43" s="29"/>
      <c r="B43" s="780" t="s">
        <v>105</v>
      </c>
      <c r="C43" s="781"/>
      <c r="D43" s="63"/>
      <c r="E43" s="91">
        <f ca="1">Riepilogo_CostoCostEsclusoSott+Riepilogo_CostoCostSott+Riepilogo_MaggCostoCostSott-Riepilogo_CC_RiduzionePianoCasa-Riepilogo_CC_RiduzioneDensificazione+Riepilogo_MaggCostoCostConsumoSuolo-Costo_costruzione_Corrisposto</f>
        <v>0</v>
      </c>
      <c r="F43" s="44"/>
      <c r="G43" s="14"/>
      <c r="H43" s="14"/>
      <c r="I43" s="14"/>
    </row>
    <row r="44" spans="1:9" ht="12.75" customHeight="1" x14ac:dyDescent="0.2">
      <c r="A44" s="29"/>
      <c r="B44" s="782" t="s">
        <v>142</v>
      </c>
      <c r="C44" s="783"/>
      <c r="D44" s="783"/>
      <c r="E44" s="783"/>
      <c r="F44" s="784"/>
      <c r="G44" s="14"/>
      <c r="H44" s="14"/>
      <c r="I44" s="14"/>
    </row>
    <row r="45" spans="1:9" ht="12.75" customHeight="1" x14ac:dyDescent="0.2">
      <c r="A45" s="29"/>
      <c r="B45" s="778" t="s">
        <v>179</v>
      </c>
      <c r="C45" s="779"/>
      <c r="D45" s="63"/>
      <c r="E45" s="64">
        <f>ROUND(CostoCostProg_ContributoDovuto-CostoCostStatoFatto_ContributoDovuto,2)</f>
        <v>0</v>
      </c>
      <c r="F45" s="44"/>
      <c r="G45" s="14"/>
      <c r="H45" s="14"/>
      <c r="I45" s="14"/>
    </row>
    <row r="46" spans="1:9" ht="12.75" customHeight="1" x14ac:dyDescent="0.2">
      <c r="A46" s="29"/>
      <c r="B46" s="776" t="s">
        <v>182</v>
      </c>
      <c r="C46" s="777"/>
      <c r="D46" s="63"/>
      <c r="E46" s="65">
        <f>CC_RiduzionePianoCasa_StFatto_Prog</f>
        <v>0</v>
      </c>
      <c r="F46" s="44"/>
      <c r="G46" s="14"/>
      <c r="H46" s="14"/>
      <c r="I46" s="14"/>
    </row>
    <row r="47" spans="1:9" ht="12.75" customHeight="1" x14ac:dyDescent="0.2">
      <c r="A47" s="29"/>
      <c r="B47" s="776" t="s">
        <v>351</v>
      </c>
      <c r="C47" s="777"/>
      <c r="D47" s="63" t="str">
        <f>IF(Riepilogo_CC_RiduzioneDensificazione&gt;0,IF(Par_Rid_Densificazione_CC&gt;0, TEXT(Par_Rid_Densificazione_CC,"0%")&amp;" a dedurre","Nessuna"),"")</f>
        <v/>
      </c>
      <c r="E47" s="65">
        <f>CC_RiduzioneDensificazione_StFatto_Prog</f>
        <v>0</v>
      </c>
      <c r="F47" s="44"/>
      <c r="G47" s="14"/>
      <c r="H47" s="14"/>
      <c r="I47" s="14"/>
    </row>
    <row r="48" spans="1:9" ht="12.75" customHeight="1" x14ac:dyDescent="0.2">
      <c r="A48" s="29"/>
      <c r="B48" s="776" t="s">
        <v>387</v>
      </c>
      <c r="C48" s="777"/>
      <c r="D48" s="63" t="str">
        <f>IF(ConsumoSuolo&lt;&gt;"No",IF(ConsumoSuolo&gt;0, TEXT(ConsumoSuolo,"0%"),"Nessuna"),"")</f>
        <v/>
      </c>
      <c r="E48" s="64">
        <f>CC_StFatto_MaggConsumoSuolo</f>
        <v>0</v>
      </c>
      <c r="F48" s="44"/>
      <c r="G48" s="14"/>
      <c r="H48" s="14"/>
      <c r="I48" s="14"/>
    </row>
    <row r="49" spans="1:13" ht="12.75" customHeight="1" x14ac:dyDescent="0.2">
      <c r="A49" s="29"/>
      <c r="B49" s="776" t="s">
        <v>181</v>
      </c>
      <c r="C49" s="777"/>
      <c r="D49" s="63" t="str">
        <f>IF(CostoCostr_NuovaEdif_Prog_corrisposto_concessione_cong+CostoCostr_NuovaEdif_Prog_corrisposto_varianti+CostoCostr_NuovaEdif_StFatto_corrisposto_concessione_cong+CostoCostr_NuovaEdif_StFatto_corrisposto_varianti&gt;0," a dedurre","")</f>
        <v/>
      </c>
      <c r="E49" s="64">
        <f>CostoCostr_Prog_StFatto_corrisposto</f>
        <v>0</v>
      </c>
      <c r="F49" s="44"/>
      <c r="G49" s="14"/>
      <c r="H49" s="14"/>
      <c r="I49" s="14"/>
    </row>
    <row r="50" spans="1:13" ht="12.75" customHeight="1" x14ac:dyDescent="0.2">
      <c r="A50" s="29"/>
      <c r="B50" s="780" t="s">
        <v>105</v>
      </c>
      <c r="C50" s="781"/>
      <c r="D50" s="63"/>
      <c r="E50" s="98">
        <f>RiepilogoCostoCostruzione_StatoFattoProgetto_Dovuto-RiepilogoCostoCostruzione_StatoFattoProgetto_Corrisposto-RiepilogoCostoCostruzione_StatoFattoProgetto_PianoCasa-RiepilogoCostoCostruzione_StatoFattoProgetto_Densifcazione+Riepilogo_MaggCostoStFattoCostConsumoSuolo</f>
        <v>0</v>
      </c>
      <c r="F50" s="44"/>
      <c r="G50" s="14"/>
      <c r="H50" s="14"/>
      <c r="I50" s="14"/>
    </row>
    <row r="51" spans="1:13" ht="12.75" customHeight="1" x14ac:dyDescent="0.2">
      <c r="A51" s="29"/>
      <c r="B51" s="72"/>
      <c r="C51" s="66"/>
      <c r="D51" s="94"/>
      <c r="E51" s="144"/>
      <c r="F51" s="44"/>
      <c r="G51" s="14"/>
      <c r="H51" s="14"/>
      <c r="I51" s="14"/>
    </row>
    <row r="52" spans="1:13" ht="12.75" customHeight="1" x14ac:dyDescent="0.2">
      <c r="A52" s="29"/>
      <c r="B52" s="786" t="s">
        <v>144</v>
      </c>
      <c r="C52" s="787"/>
      <c r="D52" s="63"/>
      <c r="E52" s="62">
        <f ca="1">Riepilogo_CostoCostruzione+Riepilogo_CostoCostruzione_StatoFattoProgetto</f>
        <v>0</v>
      </c>
      <c r="F52" s="44"/>
      <c r="G52" s="14"/>
      <c r="H52" s="14"/>
      <c r="I52" s="14"/>
    </row>
    <row r="53" spans="1:13" ht="12.75" customHeight="1" thickBot="1" x14ac:dyDescent="0.25">
      <c r="A53" s="29"/>
      <c r="B53" s="53"/>
      <c r="C53" s="49"/>
      <c r="D53" s="49"/>
      <c r="E53" s="93"/>
      <c r="F53" s="44"/>
      <c r="G53" s="14"/>
      <c r="H53" s="14"/>
      <c r="I53" s="14"/>
    </row>
    <row r="54" spans="1:13" ht="15" customHeight="1" x14ac:dyDescent="0.2">
      <c r="A54" s="29"/>
      <c r="B54" s="791" t="s">
        <v>105</v>
      </c>
      <c r="C54" s="792"/>
      <c r="D54" s="74"/>
      <c r="E54" s="75">
        <f ca="1">ROUND(Riepilogo_OneriUrbanizzazione+Riepilogo_CostoCostruzione_totale,2)</f>
        <v>0</v>
      </c>
      <c r="F54" s="77"/>
    </row>
    <row r="55" spans="1:13" ht="12.75" customHeight="1" thickBot="1" x14ac:dyDescent="0.25">
      <c r="A55" s="29"/>
      <c r="B55" s="78"/>
      <c r="C55" s="49"/>
      <c r="D55" s="49"/>
      <c r="E55" s="51"/>
      <c r="F55" s="71"/>
      <c r="H55" s="14"/>
      <c r="I55" s="14"/>
    </row>
    <row r="56" spans="1:13" ht="15" customHeight="1" x14ac:dyDescent="0.2">
      <c r="A56" s="29"/>
      <c r="B56" s="788" t="s">
        <v>87</v>
      </c>
      <c r="C56" s="789"/>
      <c r="D56" s="789"/>
      <c r="E56" s="789"/>
      <c r="F56" s="790"/>
      <c r="H56" s="14"/>
      <c r="I56" s="14"/>
    </row>
    <row r="57" spans="1:13" ht="15" customHeight="1" x14ac:dyDescent="0.2">
      <c r="A57" s="29"/>
      <c r="B57" s="778" t="s">
        <v>325</v>
      </c>
      <c r="C57" s="779"/>
      <c r="D57" s="63"/>
      <c r="E57" s="69">
        <f>IF(InSanatoria="Si (onerosa)",ROUND(Riepilogo_OneriUrbPrimEsclusoSott+Riepilogo_OneriUrbPrimCambioUso+Riepilogo_OneriUrbPrimSott+Riepilogo_MaggOneriUrbPrimSott+Riepilogo_OneriUrbSecEsclusoSott+Riepilogo_OneriUrbSecCambioUso+Riepilogo_OneriUrbSecSott+Riepilogo_MaggOneriUrbSecSott+Riepilogo_OneriSmaltRifiutiRif+Riepilogo_OneriSmaltRifiutiCambioUso+Riepilogo_CostoCostEsclusoSott+Riepilogo_CostoCostSott+Riepilogo_MaggCostoCostSott+RiepilogoCostoCostruzione_StatoFattoProgetto_Dovuto,2),0)</f>
        <v>0</v>
      </c>
      <c r="F57" s="604"/>
      <c r="H57" s="14"/>
      <c r="I57" s="14"/>
    </row>
    <row r="58" spans="1:13" ht="12.75" customHeight="1" x14ac:dyDescent="0.2">
      <c r="A58" s="29"/>
      <c r="B58" s="778" t="str">
        <f>CC_AltriCosti_SanzioneLabel</f>
        <v>Sanzione pecuniaria per interventi in sanatoria</v>
      </c>
      <c r="C58" s="779"/>
      <c r="D58" s="63"/>
      <c r="E58" s="69">
        <f>CC_AltriCosti_Sanzione</f>
        <v>0</v>
      </c>
      <c r="F58" s="44"/>
      <c r="H58" s="14"/>
      <c r="I58" s="14"/>
    </row>
    <row r="59" spans="1:13" ht="12.75" customHeight="1" x14ac:dyDescent="0.2">
      <c r="A59" s="29"/>
      <c r="B59" s="776" t="s">
        <v>106</v>
      </c>
      <c r="C59" s="777"/>
      <c r="D59" s="63"/>
      <c r="E59" s="64">
        <f>Co_MonAreeStand</f>
        <v>0</v>
      </c>
      <c r="F59" s="44"/>
      <c r="H59" s="14"/>
      <c r="I59" s="14"/>
    </row>
    <row r="60" spans="1:13" ht="12.75" customHeight="1" x14ac:dyDescent="0.2">
      <c r="A60" s="29"/>
      <c r="B60" s="776" t="s">
        <v>80</v>
      </c>
      <c r="C60" s="777"/>
      <c r="D60" s="63"/>
      <c r="E60" s="65">
        <f>Co_MonAreeParc</f>
        <v>0</v>
      </c>
      <c r="F60" s="44"/>
    </row>
    <row r="61" spans="1:13" ht="12.75" customHeight="1" x14ac:dyDescent="0.2">
      <c r="A61" s="29"/>
      <c r="B61" s="776" t="str">
        <f>OnUrb_AltriCosti_DescMaggCostoCAreeAgr</f>
        <v>Maggiorazione sugli oneri di urbanizzazione per Fondo Aree Verdi</v>
      </c>
      <c r="C61" s="777"/>
      <c r="D61" s="63"/>
      <c r="E61" s="64">
        <f>OnUrb_AltriCosti_ValoreMaggCostoCAreeAgr</f>
        <v>0</v>
      </c>
      <c r="F61" s="44"/>
      <c r="H61" s="14"/>
      <c r="I61" s="14"/>
    </row>
    <row r="62" spans="1:13" s="9" customFormat="1" ht="12.75" customHeight="1" x14ac:dyDescent="0.2">
      <c r="A62" s="14"/>
      <c r="B62" s="776" t="str">
        <f>CC_AltriCosti_DescMaggCostoCAreeAgr</f>
        <v>Maggiorazione sul costo di costruzione per Fondo Aree Verdi</v>
      </c>
      <c r="C62" s="777"/>
      <c r="D62" s="63"/>
      <c r="E62" s="65">
        <f>CC_AltriCosti_ValoreMaggCostoCAreeAgr</f>
        <v>0</v>
      </c>
      <c r="F62" s="44"/>
      <c r="G62"/>
      <c r="H62" s="10"/>
      <c r="I62" s="3"/>
      <c r="J62" s="4">
        <f>IF(Ou_NuovaEd_AreaAgricola="Sì",((ImportoCostoCostruzione+ImportoOneriUrbanizzazione)*Par_Maggiorazione_AreeAgric)/100,0)</f>
        <v>0</v>
      </c>
      <c r="K62" s="11"/>
      <c r="L62" s="14"/>
      <c r="M62" s="14"/>
    </row>
    <row r="63" spans="1:13" s="9" customFormat="1" ht="12.75" customHeight="1" thickBot="1" x14ac:dyDescent="0.25">
      <c r="A63" s="14"/>
      <c r="B63" s="53"/>
      <c r="C63" s="45"/>
      <c r="D63" s="142"/>
      <c r="E63" s="93"/>
      <c r="F63" s="44"/>
      <c r="G63"/>
      <c r="H63" s="36"/>
      <c r="I63" s="3"/>
      <c r="J63" s="37"/>
      <c r="K63" s="38"/>
      <c r="L63" s="14"/>
      <c r="M63" s="14"/>
    </row>
    <row r="64" spans="1:13" ht="15" customHeight="1" x14ac:dyDescent="0.2">
      <c r="A64" s="29"/>
      <c r="B64" s="791" t="s">
        <v>105</v>
      </c>
      <c r="C64" s="792"/>
      <c r="D64" s="74"/>
      <c r="E64" s="75">
        <f>Riepilogo_Oblazione+Riepilogo_Sanzione+Riepilogo_MonetizzAreeStand+Riepilogo_MonetizzParcheggi+Riepilogo_OnUrb_AltriCosti_ValoreMaggCostoCAreeAgr+Riepilogo_CC_AltriCosti_ValoreMaggCostoCAreeAgr</f>
        <v>0</v>
      </c>
      <c r="F64" s="77"/>
    </row>
    <row r="65" spans="1:6" ht="12.75" customHeight="1" x14ac:dyDescent="0.2">
      <c r="A65" s="29"/>
      <c r="B65" s="49"/>
      <c r="C65" s="49"/>
      <c r="D65" s="49"/>
      <c r="E65" s="51"/>
    </row>
    <row r="66" spans="1:6" ht="15" customHeight="1" x14ac:dyDescent="0.2">
      <c r="A66" s="26"/>
      <c r="B66" s="793" t="s">
        <v>184</v>
      </c>
      <c r="C66" s="794"/>
      <c r="D66" s="63"/>
      <c r="E66" s="76">
        <f ca="1">Complessivo_ConMagg</f>
        <v>0</v>
      </c>
      <c r="F66" s="79"/>
    </row>
    <row r="67" spans="1:6" ht="12.75" customHeight="1" thickBot="1" x14ac:dyDescent="0.25">
      <c r="B67" s="71"/>
      <c r="C67" s="71"/>
      <c r="D67" s="71"/>
      <c r="E67" s="71"/>
      <c r="F67" s="71"/>
    </row>
    <row r="68" spans="1:6" ht="15" customHeight="1" x14ac:dyDescent="0.2">
      <c r="A68" s="28"/>
      <c r="B68" s="788" t="s">
        <v>186</v>
      </c>
      <c r="C68" s="789"/>
      <c r="D68" s="789"/>
      <c r="E68" s="789"/>
      <c r="F68" s="790"/>
    </row>
    <row r="69" spans="1:6" ht="12.75" customHeight="1" x14ac:dyDescent="0.2">
      <c r="B69" s="778" t="s">
        <v>259</v>
      </c>
      <c r="C69" s="779"/>
      <c r="D69" s="70"/>
      <c r="E69" s="81">
        <f>DetCL_DettContCostoCost_SommaIncrementi</f>
        <v>0</v>
      </c>
      <c r="F69" s="44"/>
    </row>
    <row r="70" spans="1:6" ht="12.75" customHeight="1" x14ac:dyDescent="0.2">
      <c r="B70" s="776" t="s">
        <v>260</v>
      </c>
      <c r="C70" s="777"/>
      <c r="D70" s="70"/>
      <c r="E70" s="82" t="str">
        <f>IF(DetCL_DettContCostoCost_SommaIncrementi&gt;0,DetClasse_CostoCostruzClasse,"")</f>
        <v/>
      </c>
      <c r="F70" s="44"/>
    </row>
    <row r="71" spans="1:6" ht="12.75" customHeight="1" x14ac:dyDescent="0.2">
      <c r="B71" s="776" t="s">
        <v>261</v>
      </c>
      <c r="C71" s="777"/>
      <c r="D71" s="70"/>
      <c r="E71" s="83">
        <f ca="1">DetClasse_Maggiorazione</f>
        <v>0</v>
      </c>
      <c r="F71" s="44"/>
    </row>
    <row r="72" spans="1:6" ht="12.75" customHeight="1" x14ac:dyDescent="0.2">
      <c r="B72" s="776" t="s">
        <v>262</v>
      </c>
      <c r="C72" s="777"/>
      <c r="D72" s="70"/>
      <c r="E72" s="84">
        <f>CostoCost_NuovaCost_SupCompl</f>
        <v>0</v>
      </c>
      <c r="F72" s="44"/>
    </row>
    <row r="73" spans="1:6" ht="12.75" customHeight="1" x14ac:dyDescent="0.2">
      <c r="B73" s="776" t="s">
        <v>263</v>
      </c>
      <c r="C73" s="777"/>
      <c r="D73" s="70"/>
      <c r="E73" s="84">
        <f>+CostoCost_Rist_SupCompl</f>
        <v>0</v>
      </c>
      <c r="F73" s="44"/>
    </row>
    <row r="74" spans="1:6" ht="12.75" customHeight="1" x14ac:dyDescent="0.2">
      <c r="B74" s="776" t="s">
        <v>264</v>
      </c>
      <c r="C74" s="777"/>
      <c r="D74" s="70"/>
      <c r="E74" s="84">
        <f>CostoCost_Sot_SupCompl</f>
        <v>0</v>
      </c>
      <c r="F74" s="44"/>
    </row>
    <row r="75" spans="1:6" ht="12.75" customHeight="1" thickBot="1" x14ac:dyDescent="0.3">
      <c r="A75" s="27"/>
      <c r="B75" s="54"/>
      <c r="C75" s="55"/>
      <c r="D75" s="57"/>
      <c r="E75" s="58"/>
      <c r="F75" s="59"/>
    </row>
    <row r="76" spans="1:6" ht="12.75" customHeight="1" thickBot="1" x14ac:dyDescent="0.25">
      <c r="B76" s="73"/>
      <c r="C76" s="73"/>
      <c r="D76" s="73"/>
      <c r="E76" s="80"/>
      <c r="F76" s="73"/>
    </row>
    <row r="77" spans="1:6" ht="15" customHeight="1" x14ac:dyDescent="0.2">
      <c r="A77" s="28"/>
      <c r="B77" s="788" t="s">
        <v>297</v>
      </c>
      <c r="C77" s="789"/>
      <c r="D77" s="789"/>
      <c r="E77" s="789"/>
      <c r="F77" s="790"/>
    </row>
    <row r="78" spans="1:6" ht="12.75" customHeight="1" x14ac:dyDescent="0.2">
      <c r="B78" s="778" t="s">
        <v>258</v>
      </c>
      <c r="C78" s="779"/>
      <c r="D78" s="70"/>
      <c r="E78" s="85">
        <f>Volume_Recupero_Sottotetti</f>
        <v>0</v>
      </c>
      <c r="F78" s="44"/>
    </row>
    <row r="79" spans="1:6" ht="12.75" customHeight="1" x14ac:dyDescent="0.2">
      <c r="B79" s="776" t="s">
        <v>257</v>
      </c>
      <c r="C79" s="777"/>
      <c r="D79" s="70"/>
      <c r="E79" s="86">
        <f>COUNTIF(Calcolo_sup_parcheggi_tot_volume_UIU,"&gt;0")</f>
        <v>0</v>
      </c>
      <c r="F79" s="44"/>
    </row>
    <row r="80" spans="1:6" ht="12.75" customHeight="1" x14ac:dyDescent="0.2">
      <c r="B80" s="776" t="s">
        <v>298</v>
      </c>
      <c r="C80" s="777"/>
      <c r="D80" s="70"/>
      <c r="E80" s="84">
        <f>Parcheggio_Recupero_Sottotetti</f>
        <v>0</v>
      </c>
      <c r="F80" s="44"/>
    </row>
    <row r="81" spans="1:6" ht="12.75" customHeight="1" thickBot="1" x14ac:dyDescent="0.25">
      <c r="A81" s="31"/>
      <c r="B81" s="60"/>
      <c r="C81" s="61"/>
      <c r="D81" s="61"/>
      <c r="E81" s="61"/>
      <c r="F81" s="56"/>
    </row>
    <row r="82" spans="1:6" ht="12.75"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x14ac:dyDescent="0.2"/>
    <row r="169" x14ac:dyDescent="0.2"/>
  </sheetData>
  <sheetProtection password="83CC" sheet="1" objects="1" scenarios="1" formatColumns="0" formatRows="0" insertRows="0"/>
  <mergeCells count="65">
    <mergeCell ref="B45:C45"/>
    <mergeCell ref="B38:C38"/>
    <mergeCell ref="B52:C52"/>
    <mergeCell ref="B54:C54"/>
    <mergeCell ref="B56:F56"/>
    <mergeCell ref="B46:C46"/>
    <mergeCell ref="B47:C47"/>
    <mergeCell ref="B43:C43"/>
    <mergeCell ref="B41:C41"/>
    <mergeCell ref="B48:C48"/>
    <mergeCell ref="B80:C80"/>
    <mergeCell ref="B77:F77"/>
    <mergeCell ref="B78:C78"/>
    <mergeCell ref="B60:C60"/>
    <mergeCell ref="B61:C61"/>
    <mergeCell ref="B62:C62"/>
    <mergeCell ref="B73:C73"/>
    <mergeCell ref="B79:C79"/>
    <mergeCell ref="B69:C69"/>
    <mergeCell ref="B70:C70"/>
    <mergeCell ref="B71:C71"/>
    <mergeCell ref="B74:C74"/>
    <mergeCell ref="B59:C59"/>
    <mergeCell ref="B68:F68"/>
    <mergeCell ref="B72:C72"/>
    <mergeCell ref="B42:C42"/>
    <mergeCell ref="B16:C16"/>
    <mergeCell ref="B23:C23"/>
    <mergeCell ref="B30:C30"/>
    <mergeCell ref="B18:C18"/>
    <mergeCell ref="B44:F44"/>
    <mergeCell ref="B20:C20"/>
    <mergeCell ref="B57:C57"/>
    <mergeCell ref="B64:C64"/>
    <mergeCell ref="B66:C66"/>
    <mergeCell ref="B58:C58"/>
    <mergeCell ref="B49:C49"/>
    <mergeCell ref="B50:C50"/>
    <mergeCell ref="B2:F2"/>
    <mergeCell ref="B4:C4"/>
    <mergeCell ref="B6:C6"/>
    <mergeCell ref="B7:C7"/>
    <mergeCell ref="B12:C12"/>
    <mergeCell ref="B11:C11"/>
    <mergeCell ref="B3:F3"/>
    <mergeCell ref="B9:C9"/>
    <mergeCell ref="B8:C8"/>
    <mergeCell ref="B33:C33"/>
    <mergeCell ref="B35:F35"/>
    <mergeCell ref="B40:C40"/>
    <mergeCell ref="B36:C36"/>
    <mergeCell ref="B37:C37"/>
    <mergeCell ref="B39:C39"/>
    <mergeCell ref="B21:C21"/>
    <mergeCell ref="B28:C28"/>
    <mergeCell ref="B26:C26"/>
    <mergeCell ref="B27:F27"/>
    <mergeCell ref="B10:C10"/>
    <mergeCell ref="B22:C22"/>
    <mergeCell ref="B25:C25"/>
    <mergeCell ref="B24:C24"/>
    <mergeCell ref="B19:C19"/>
    <mergeCell ref="B14:C14"/>
    <mergeCell ref="B15:F15"/>
    <mergeCell ref="B13:C13"/>
  </mergeCells>
  <hyperlinks>
    <hyperlink ref="G7" location="'Procedura guidata'!A1" display="Torna alla procedura guidata!" xr:uid="{00000000-0004-0000-0100-000000000000}"/>
  </hyperlinks>
  <printOptions horizontalCentered="1"/>
  <pageMargins left="0.11811023622047245" right="0.11811023622047245" top="0.15748031496062992" bottom="0.15748031496062992" header="0.31496062992125984" footer="0.31496062992125984"/>
  <pageSetup paperSize="9" scale="83"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2"/>
  <dimension ref="A1:IV254"/>
  <sheetViews>
    <sheetView showGridLines="0" showZeros="0" workbookViewId="0"/>
  </sheetViews>
  <sheetFormatPr defaultColWidth="0" defaultRowHeight="12.75" zeroHeight="1" x14ac:dyDescent="0.2"/>
  <cols>
    <col min="1" max="1" width="5.7109375" customWidth="1"/>
    <col min="2" max="2" width="32.28515625" customWidth="1"/>
    <col min="3" max="3" width="7" customWidth="1"/>
    <col min="4" max="4" width="16.7109375" customWidth="1"/>
    <col min="5" max="5" width="2.28515625" customWidth="1"/>
    <col min="6" max="6" width="16.7109375" customWidth="1"/>
    <col min="7" max="7" width="10.28515625" customWidth="1"/>
    <col min="8" max="8" width="16.7109375" customWidth="1"/>
    <col min="9" max="9" width="2.28515625" customWidth="1"/>
    <col min="10" max="10" width="16.7109375" customWidth="1"/>
    <col min="11" max="11" width="2.28515625" customWidth="1"/>
    <col min="12" max="13" width="12.7109375" customWidth="1"/>
    <col min="14" max="14" width="1.85546875" customWidth="1"/>
    <col min="15" max="15" width="18.7109375" customWidth="1"/>
    <col min="16" max="255" width="0" hidden="1" customWidth="1"/>
    <col min="256" max="16384" width="9.140625" hidden="1"/>
  </cols>
  <sheetData>
    <row r="1" spans="1:256" ht="12.75" customHeight="1" thickBot="1" x14ac:dyDescent="0.25">
      <c r="B1" s="35"/>
      <c r="C1" s="2"/>
      <c r="D1" s="2"/>
      <c r="E1" s="2"/>
      <c r="F1" s="2"/>
      <c r="G1" s="2"/>
      <c r="H1" s="2"/>
      <c r="I1" s="2"/>
      <c r="J1" s="2"/>
      <c r="K1" s="2"/>
      <c r="M1" s="24"/>
      <c r="N1" s="24"/>
    </row>
    <row r="2" spans="1:256" s="7" customFormat="1" ht="15" customHeight="1" x14ac:dyDescent="0.25">
      <c r="A2" s="25"/>
      <c r="B2" s="846" t="s">
        <v>204</v>
      </c>
      <c r="C2" s="847"/>
      <c r="D2" s="847"/>
      <c r="E2" s="847"/>
      <c r="F2" s="847"/>
      <c r="G2" s="847"/>
      <c r="H2" s="847"/>
      <c r="I2" s="847"/>
      <c r="J2" s="847"/>
      <c r="K2" s="847"/>
      <c r="L2" s="847"/>
      <c r="M2" s="847"/>
      <c r="N2" s="848"/>
      <c r="O2" s="12"/>
    </row>
    <row r="3" spans="1:256" s="8" customFormat="1" ht="15" customHeight="1" x14ac:dyDescent="0.25">
      <c r="A3" s="22"/>
      <c r="B3" s="145"/>
      <c r="C3" s="146"/>
      <c r="D3" s="849" t="s">
        <v>5</v>
      </c>
      <c r="E3" s="849"/>
      <c r="F3" s="849"/>
      <c r="G3" s="147"/>
      <c r="H3" s="849" t="s">
        <v>0</v>
      </c>
      <c r="I3" s="849"/>
      <c r="J3" s="849"/>
      <c r="K3" s="171"/>
      <c r="L3" s="836" t="s">
        <v>105</v>
      </c>
      <c r="M3" s="836"/>
      <c r="N3" s="149"/>
      <c r="O3" s="13"/>
    </row>
    <row r="4" spans="1:256" s="5" customFormat="1" ht="20.100000000000001" customHeight="1" x14ac:dyDescent="0.2">
      <c r="A4"/>
      <c r="B4" s="834" t="str">
        <f>Parametri_DestUsoPersonalizzazione1 &amp; IF(EdiliziaConvenzionata="No",""," edilizia convenzionata")</f>
        <v>Residenziale</v>
      </c>
      <c r="C4" s="835"/>
      <c r="D4" s="850">
        <f>Ou_Cost_Res_NuovaEdif</f>
        <v>0</v>
      </c>
      <c r="E4" s="851"/>
      <c r="F4" s="851"/>
      <c r="G4" s="234"/>
      <c r="H4" s="851">
        <f>Ou_Rist_Res</f>
        <v>0</v>
      </c>
      <c r="I4" s="851"/>
      <c r="J4" s="851"/>
      <c r="K4" s="235"/>
      <c r="L4" s="236"/>
      <c r="M4" s="236"/>
      <c r="N4" s="44"/>
      <c r="O4"/>
    </row>
    <row r="5" spans="1:256" s="9" customFormat="1" ht="12.75" customHeight="1" x14ac:dyDescent="0.2">
      <c r="A5" s="14"/>
      <c r="B5" s="800" t="s">
        <v>81</v>
      </c>
      <c r="C5" s="801"/>
      <c r="D5" s="137">
        <f>IF(Ou_PrimariaDefiniti="Sì",IF(ISERROR(MATCH(ZonaTerritoriale,ElencoZone,0))=TRUE,0,INDEX(MatriceParametri,MATCH(ZonaTerritoriale,ElencoZone,0),IF(DatiGen_ResidenzialeClasseA="No",1,3))),0)</f>
        <v>4.3600000000000003</v>
      </c>
      <c r="E5" s="107"/>
      <c r="F5" s="126">
        <f>PRODUCT(D4,D5)</f>
        <v>0</v>
      </c>
      <c r="G5" s="127"/>
      <c r="H5" s="137">
        <f>IF(Ou_PrimariaDefiniti="Sì",IF(ISERROR(MATCH(ZonaTerritoriale,ElencoZone,0))=TRUE,0,INDEX(MatriceParametri,MATCH(ZonaTerritoriale,ElencoZone,0),IF(DatiGen_ResidenzialeClasseA="No",2,4))),0)</f>
        <v>2.42</v>
      </c>
      <c r="I5" s="107"/>
      <c r="J5" s="126">
        <f>PRODUCT(H4,H5)</f>
        <v>0</v>
      </c>
      <c r="K5" s="239"/>
      <c r="L5" s="816">
        <f>ROUND(SUM(F5,J5),2)</f>
        <v>0</v>
      </c>
      <c r="M5" s="817"/>
      <c r="N5" s="564">
        <f>SUM(F5,J5)*DescInt_RisparmioPercent</f>
        <v>0</v>
      </c>
      <c r="O5" s="878" t="s">
        <v>269</v>
      </c>
    </row>
    <row r="6" spans="1:256" s="9" customFormat="1" ht="12.75" customHeight="1" x14ac:dyDescent="0.2">
      <c r="A6" s="14"/>
      <c r="B6" s="796" t="s">
        <v>82</v>
      </c>
      <c r="C6" s="797"/>
      <c r="D6" s="138">
        <f>IF(Ou_SecDefiniti="Sì",IF(ISERROR(MATCH(ZonaTerritoriale,ElencoZone,0))=TRUE,0,INDEX(MatriceParametri,MATCH(ZonaTerritoriale,ElencoZone,0)+1,IF(DatiGen_ResidenzialeClasseA="No",1,3))),0)</f>
        <v>9.66</v>
      </c>
      <c r="E6" s="107"/>
      <c r="F6" s="125">
        <f>PRODUCT(D4,D6)</f>
        <v>0</v>
      </c>
      <c r="G6" s="18"/>
      <c r="H6" s="138">
        <f>IF(Ou_SecDefiniti="Sì",IF(ISERROR(MATCH(ZonaTerritoriale,ElencoZone,0))=TRUE,0,INDEX(MatriceParametri,MATCH(ZonaTerritoriale,ElencoZone,0)+1,IF(DatiGen_ResidenzialeClasseA="No",2,4))),0)</f>
        <v>4.83</v>
      </c>
      <c r="I6" s="107"/>
      <c r="J6" s="125">
        <f>PRODUCT(H4,H6)</f>
        <v>0</v>
      </c>
      <c r="K6" s="116"/>
      <c r="L6" s="816">
        <f>ROUND(SUM(F6,J6),2)</f>
        <v>0</v>
      </c>
      <c r="M6" s="817"/>
      <c r="N6" s="564">
        <f>SUM(F6,J6)*DescInt_RisparmioPercent</f>
        <v>0</v>
      </c>
      <c r="O6" s="878"/>
    </row>
    <row r="7" spans="1:256" s="9" customFormat="1" ht="12.75" customHeight="1" x14ac:dyDescent="0.2">
      <c r="A7" s="14"/>
      <c r="B7" s="796" t="s">
        <v>83</v>
      </c>
      <c r="C7" s="797"/>
      <c r="D7" s="139">
        <f>IF(ISERROR(MATCH(ZonaTerritoriale,ElencoZone,0))=TRUE,0,INDEX(MatriceParametri,MATCH(ZonaTerritoriale,ElencoZone,0)+2,IF(DatiGen_ResidenzialeClasseA="No",1,3)))</f>
        <v>0</v>
      </c>
      <c r="E7" s="107"/>
      <c r="F7" s="125">
        <f>PRODUCT(D4,D7)</f>
        <v>0</v>
      </c>
      <c r="G7" s="18"/>
      <c r="H7" s="139">
        <f>IF(ISERROR(MATCH(ZonaTerritoriale,ElencoZone,0))=TRUE,0,INDEX(MatriceParametri,MATCH(ZonaTerritoriale,ElencoZone,0)+2,IF(DatiGen_ResidenzialeClasseA="No",2,4)))</f>
        <v>0</v>
      </c>
      <c r="I7" s="107"/>
      <c r="J7" s="125">
        <f>PRODUCT(H4,H7)</f>
        <v>0</v>
      </c>
      <c r="K7" s="116"/>
      <c r="L7" s="816">
        <f>ROUND(SUM(F7,J7),2)</f>
        <v>0</v>
      </c>
      <c r="M7" s="817"/>
      <c r="N7" s="105"/>
      <c r="O7" s="14"/>
    </row>
    <row r="8" spans="1:256" s="5" customFormat="1" ht="20.100000000000001" customHeight="1" x14ac:dyDescent="0.2">
      <c r="A8"/>
      <c r="B8" s="834" t="str">
        <f>Parametri_DestUsoPersonalizzazione2</f>
        <v>Commerciale direzionale</v>
      </c>
      <c r="C8" s="835"/>
      <c r="D8" s="798">
        <f>Ou_Cost_Comm_NuovaEdif</f>
        <v>0</v>
      </c>
      <c r="E8" s="798"/>
      <c r="F8" s="798"/>
      <c r="G8" s="234"/>
      <c r="H8" s="798">
        <f>Ou_Rist_Com</f>
        <v>0</v>
      </c>
      <c r="I8" s="798"/>
      <c r="J8" s="798"/>
      <c r="K8" s="237"/>
      <c r="L8" s="236"/>
      <c r="M8" s="236"/>
      <c r="N8" s="44"/>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9" customFormat="1" ht="12.75" customHeight="1" x14ac:dyDescent="0.2">
      <c r="A9" s="14"/>
      <c r="B9" s="800" t="s">
        <v>81</v>
      </c>
      <c r="C9" s="801"/>
      <c r="D9" s="140">
        <f>IF(Ou_PrimariaDefiniti="Sì",IF(ISERROR(MATCH(ZonaTerritoriale,ElencoZone,0))=TRUE,0,INDEX(MatriceParametri,MATCH(ZonaTerritoriale,ElencoZone,0),5)),0)</f>
        <v>68.75</v>
      </c>
      <c r="E9" s="107"/>
      <c r="F9" s="125">
        <f>PRODUCT(D8,D9)</f>
        <v>0</v>
      </c>
      <c r="G9" s="127"/>
      <c r="H9" s="140">
        <f>IF(Ou_PrimariaDefiniti="Sì",IF(ISERROR(MATCH(ZonaTerritoriale,ElencoZone,0))=TRUE,0,INDEX(MatriceParametri,MATCH(ZonaTerritoriale,ElencoZone,0),6)),0)</f>
        <v>34.380000000000003</v>
      </c>
      <c r="I9" s="107"/>
      <c r="J9" s="125">
        <f>PRODUCT(H8,H9)</f>
        <v>0</v>
      </c>
      <c r="K9" s="239"/>
      <c r="L9" s="816">
        <f>ROUND(SUM(F9,J9),2)</f>
        <v>0</v>
      </c>
      <c r="M9" s="817"/>
      <c r="N9" s="105"/>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c r="CV9" s="14"/>
      <c r="CW9" s="14"/>
      <c r="CX9" s="14"/>
      <c r="CY9" s="14"/>
      <c r="CZ9" s="14"/>
      <c r="DA9" s="14"/>
      <c r="DB9" s="14"/>
      <c r="DC9" s="14"/>
      <c r="DD9" s="14"/>
      <c r="DE9" s="14"/>
      <c r="DF9" s="14"/>
      <c r="DG9" s="14"/>
      <c r="DH9" s="14"/>
      <c r="DI9" s="14"/>
      <c r="DJ9" s="14"/>
      <c r="DK9" s="14"/>
      <c r="DL9" s="14"/>
      <c r="DM9" s="14"/>
      <c r="DN9" s="14"/>
      <c r="DO9" s="14"/>
      <c r="DP9" s="14"/>
      <c r="DQ9" s="14"/>
      <c r="DR9" s="14"/>
      <c r="DS9" s="14"/>
      <c r="DT9" s="14"/>
      <c r="DU9" s="14"/>
      <c r="DV9" s="14"/>
      <c r="DW9" s="14"/>
      <c r="DX9" s="14"/>
      <c r="DY9" s="14"/>
      <c r="DZ9" s="14"/>
      <c r="EA9" s="14"/>
      <c r="EB9" s="14"/>
      <c r="EC9" s="14"/>
      <c r="ED9" s="14"/>
      <c r="EE9" s="14"/>
      <c r="EF9" s="14"/>
      <c r="EG9" s="14"/>
      <c r="EH9" s="14"/>
      <c r="EI9" s="14"/>
      <c r="EJ9" s="14"/>
      <c r="EK9" s="14"/>
      <c r="EL9" s="14"/>
      <c r="EM9" s="14"/>
      <c r="EN9" s="14"/>
      <c r="EO9" s="14"/>
      <c r="EP9" s="14"/>
      <c r="EQ9" s="14"/>
      <c r="ER9" s="14"/>
      <c r="ES9" s="14"/>
      <c r="ET9" s="14"/>
      <c r="EU9" s="14"/>
      <c r="EV9" s="14"/>
      <c r="EW9" s="14"/>
      <c r="EX9" s="14"/>
      <c r="EY9" s="14"/>
      <c r="EZ9" s="14"/>
      <c r="FA9" s="14"/>
      <c r="FB9" s="14"/>
      <c r="FC9" s="14"/>
      <c r="FD9" s="14"/>
      <c r="FE9" s="14"/>
      <c r="FF9" s="14"/>
      <c r="FG9" s="14"/>
      <c r="FH9" s="14"/>
      <c r="FI9" s="14"/>
      <c r="FJ9" s="14"/>
      <c r="FK9" s="14"/>
      <c r="FL9" s="14"/>
      <c r="FM9" s="14"/>
      <c r="FN9" s="14"/>
      <c r="FO9" s="14"/>
      <c r="FP9" s="14"/>
      <c r="FQ9" s="14"/>
      <c r="FR9" s="14"/>
      <c r="FS9" s="14"/>
      <c r="FT9" s="14"/>
      <c r="FU9" s="14"/>
      <c r="FV9" s="14"/>
      <c r="FW9" s="14"/>
      <c r="FX9" s="14"/>
      <c r="FY9" s="14"/>
      <c r="FZ9" s="14"/>
      <c r="GA9" s="14"/>
      <c r="GB9" s="14"/>
      <c r="GC9" s="14"/>
      <c r="GD9" s="14"/>
      <c r="GE9" s="14"/>
      <c r="GF9" s="14"/>
      <c r="GG9" s="14"/>
      <c r="GH9" s="14"/>
      <c r="GI9" s="14"/>
      <c r="GJ9" s="14"/>
      <c r="GK9" s="14"/>
      <c r="GL9" s="14"/>
      <c r="GM9" s="14"/>
      <c r="GN9" s="14"/>
      <c r="GO9" s="14"/>
      <c r="GP9" s="14"/>
      <c r="GQ9" s="14"/>
      <c r="GR9" s="14"/>
      <c r="GS9" s="14"/>
      <c r="GT9" s="14"/>
      <c r="GU9" s="14"/>
      <c r="GV9" s="14"/>
      <c r="GW9" s="14"/>
      <c r="GX9" s="14"/>
      <c r="GY9" s="14"/>
      <c r="GZ9" s="14"/>
      <c r="HA9" s="14"/>
      <c r="HB9" s="14"/>
      <c r="HC9" s="14"/>
      <c r="HD9" s="14"/>
      <c r="HE9" s="14"/>
      <c r="HF9" s="14"/>
      <c r="HG9" s="14"/>
      <c r="HH9" s="14"/>
      <c r="HI9" s="14"/>
      <c r="HJ9" s="14"/>
      <c r="HK9" s="14"/>
      <c r="HL9" s="14"/>
      <c r="HM9" s="14"/>
      <c r="HN9" s="14"/>
      <c r="HO9" s="14"/>
      <c r="HP9" s="14"/>
      <c r="HQ9" s="14"/>
      <c r="HR9" s="14"/>
      <c r="HS9" s="14"/>
      <c r="HT9" s="14"/>
      <c r="HU9" s="14"/>
      <c r="HV9" s="14"/>
      <c r="HW9" s="14"/>
      <c r="HX9" s="14"/>
      <c r="HY9" s="14"/>
      <c r="HZ9" s="14"/>
      <c r="IA9" s="14"/>
      <c r="IB9" s="14"/>
      <c r="IC9" s="14"/>
      <c r="ID9" s="14"/>
      <c r="IE9" s="14"/>
      <c r="IF9" s="14"/>
      <c r="IG9" s="14"/>
      <c r="IH9" s="14"/>
      <c r="II9" s="14"/>
      <c r="IJ9" s="14"/>
      <c r="IK9" s="14"/>
      <c r="IL9" s="14"/>
      <c r="IM9" s="14"/>
      <c r="IN9" s="14"/>
      <c r="IO9" s="14"/>
      <c r="IP9" s="14"/>
      <c r="IQ9" s="14"/>
      <c r="IR9" s="14"/>
      <c r="IS9" s="14"/>
      <c r="IT9" s="14"/>
      <c r="IU9" s="14"/>
      <c r="IV9" s="14"/>
    </row>
    <row r="10" spans="1:256" s="9" customFormat="1" ht="12.75" customHeight="1" x14ac:dyDescent="0.2">
      <c r="A10" s="14"/>
      <c r="B10" s="796" t="s">
        <v>82</v>
      </c>
      <c r="C10" s="797"/>
      <c r="D10" s="140">
        <f>IF(Ou_SecDefiniti="Sì",IF(ISERROR(MATCH(ZonaTerritoriale,ElencoZone,0))=TRUE,0,INDEX(MatriceParametri,MATCH(ZonaTerritoriale,ElencoZone,0)+1,5)),0)</f>
        <v>45.83</v>
      </c>
      <c r="E10" s="107"/>
      <c r="F10" s="125">
        <f>PRODUCT(D8,D10)</f>
        <v>0</v>
      </c>
      <c r="G10" s="18"/>
      <c r="H10" s="140">
        <f>IF(Ou_SecDefiniti="Sì",IF(ISERROR(MATCH(ZonaTerritoriale,ElencoZone,0))=TRUE,0,INDEX(MatriceParametri,MATCH(ZonaTerritoriale,ElencoZone,0)+1,6)),0)</f>
        <v>22.92</v>
      </c>
      <c r="I10" s="107"/>
      <c r="J10" s="125">
        <f>PRODUCT(H8,H10)</f>
        <v>0</v>
      </c>
      <c r="K10" s="116"/>
      <c r="L10" s="816">
        <f>ROUND(SUM(F10,J10),2)</f>
        <v>0</v>
      </c>
      <c r="M10" s="817"/>
      <c r="N10" s="105"/>
      <c r="O10" s="14"/>
    </row>
    <row r="11" spans="1:256" s="9" customFormat="1" ht="12.75" customHeight="1" x14ac:dyDescent="0.2">
      <c r="A11" s="14"/>
      <c r="B11" s="796" t="s">
        <v>83</v>
      </c>
      <c r="C11" s="797"/>
      <c r="D11" s="140">
        <f>IF(ISERROR(MATCH(ZonaTerritoriale,ElencoZone,0))=TRUE,0,INDEX(MatriceParametri,MATCH(ZonaTerritoriale,ElencoZone,0)+2,5))</f>
        <v>0</v>
      </c>
      <c r="E11" s="107"/>
      <c r="F11" s="125">
        <f>PRODUCT(D8,D11)</f>
        <v>0</v>
      </c>
      <c r="G11" s="18"/>
      <c r="H11" s="140">
        <f>IF(ISERROR(MATCH(ZonaTerritoriale,ElencoZone,0))=TRUE,0,INDEX(MatriceParametri,MATCH(ZonaTerritoriale,ElencoZone,0)+2,6))</f>
        <v>0</v>
      </c>
      <c r="I11" s="107"/>
      <c r="J11" s="125">
        <f>PRODUCT(H8,H11)</f>
        <v>0</v>
      </c>
      <c r="K11" s="116"/>
      <c r="L11" s="816">
        <f>ROUND(SUM(F11,J11),2)</f>
        <v>0</v>
      </c>
      <c r="M11" s="817"/>
      <c r="N11" s="105"/>
      <c r="O11" s="14"/>
    </row>
    <row r="12" spans="1:256" s="5" customFormat="1" ht="20.100000000000001" customHeight="1" x14ac:dyDescent="0.2">
      <c r="A12"/>
      <c r="B12" s="834" t="str">
        <f>Parametri_DestUsoPersonalizzazione3</f>
        <v>attività artigianale</v>
      </c>
      <c r="C12" s="835"/>
      <c r="D12" s="798">
        <f>Ou_Cost_IndArt_NuovaEdif</f>
        <v>0</v>
      </c>
      <c r="E12" s="798"/>
      <c r="F12" s="798"/>
      <c r="G12" s="234"/>
      <c r="H12" s="798">
        <f>Ou_Rist_IndArt</f>
        <v>0</v>
      </c>
      <c r="I12" s="798"/>
      <c r="J12" s="798"/>
      <c r="K12" s="237"/>
      <c r="L12" s="236"/>
      <c r="M12" s="236"/>
      <c r="N12" s="44"/>
      <c r="O12"/>
    </row>
    <row r="13" spans="1:256" s="9" customFormat="1" ht="12.75" customHeight="1" x14ac:dyDescent="0.2">
      <c r="A13" s="14"/>
      <c r="B13" s="800" t="s">
        <v>81</v>
      </c>
      <c r="C13" s="801"/>
      <c r="D13" s="140">
        <f>IF(Ou_PrimariaDefiniti="Sì",IF(ISERROR(MATCH(ZonaTerritoriale,ElencoZone,0))=TRUE,0,INDEX(MatriceParametri,MATCH(ZonaTerritoriale,ElencoZone,0),7)),0)</f>
        <v>16.809999999999999</v>
      </c>
      <c r="E13" s="107"/>
      <c r="F13" s="125">
        <f>PRODUCT(D12,D13)</f>
        <v>0</v>
      </c>
      <c r="G13" s="127"/>
      <c r="H13" s="140">
        <f>IF(Ou_PrimariaDefiniti="Sì",IF(ISERROR(MATCH(ZonaTerritoriale,ElencoZone,0))=TRUE,0,INDEX(MatriceParametri,MATCH(ZonaTerritoriale,ElencoZone,0),8)),0)</f>
        <v>8.4</v>
      </c>
      <c r="I13" s="107"/>
      <c r="J13" s="125">
        <f>PRODUCT(H12,H13)</f>
        <v>0</v>
      </c>
      <c r="K13" s="239"/>
      <c r="L13" s="816">
        <f>ROUND(SUM(F13,J13),2)</f>
        <v>0</v>
      </c>
      <c r="M13" s="817"/>
      <c r="N13" s="105"/>
      <c r="O13" s="14"/>
    </row>
    <row r="14" spans="1:256" s="9" customFormat="1" ht="12.75" customHeight="1" x14ac:dyDescent="0.2">
      <c r="A14" s="14"/>
      <c r="B14" s="796" t="s">
        <v>82</v>
      </c>
      <c r="C14" s="797"/>
      <c r="D14" s="140">
        <f>IF(Ou_SecDefiniti="Sì",IF(ISERROR(MATCH(ZonaTerritoriale,ElencoZone,0))=TRUE,0,INDEX(MatriceParametri,MATCH(ZonaTerritoriale,ElencoZone,0)+1,7)),0)</f>
        <v>15.28</v>
      </c>
      <c r="E14" s="107"/>
      <c r="F14" s="125">
        <f>PRODUCT(D12,D14)</f>
        <v>0</v>
      </c>
      <c r="G14" s="18"/>
      <c r="H14" s="140">
        <f>IF(Ou_SecDefiniti="Sì",IF(ISERROR(MATCH(ZonaTerritoriale,ElencoZone,0))=TRUE,0,INDEX(MatriceParametri,MATCH(ZonaTerritoriale,ElencoZone,0)+1,8)),0)</f>
        <v>7.64</v>
      </c>
      <c r="I14" s="107"/>
      <c r="J14" s="125">
        <f>PRODUCT(H12,H14)</f>
        <v>0</v>
      </c>
      <c r="K14" s="116"/>
      <c r="L14" s="816">
        <f>ROUND(SUM(F14,J14),2)</f>
        <v>0</v>
      </c>
      <c r="M14" s="817"/>
      <c r="N14" s="105"/>
      <c r="O14" s="14"/>
    </row>
    <row r="15" spans="1:256" s="9" customFormat="1" ht="12.75" customHeight="1" x14ac:dyDescent="0.2">
      <c r="A15" s="14"/>
      <c r="B15" s="796" t="s">
        <v>83</v>
      </c>
      <c r="C15" s="797"/>
      <c r="D15" s="140">
        <f>IF(ISERROR(MATCH(ZonaTerritoriale,ElencoZone,0))=TRUE,0,INDEX(MatriceParametri,MATCH(ZonaTerritoriale,ElencoZone,0)+2,7))</f>
        <v>6.11</v>
      </c>
      <c r="E15" s="107"/>
      <c r="F15" s="125">
        <f>PRODUCT(D12,D15)</f>
        <v>0</v>
      </c>
      <c r="G15" s="18"/>
      <c r="H15" s="140">
        <f>IF(ISERROR(MATCH(ZonaTerritoriale,ElencoZone,0))=TRUE,0,INDEX(MatriceParametri,MATCH(ZonaTerritoriale,ElencoZone,0)+2,8))</f>
        <v>3.05</v>
      </c>
      <c r="I15" s="107"/>
      <c r="J15" s="125">
        <f>PRODUCT(H12,H15)</f>
        <v>0</v>
      </c>
      <c r="K15" s="116"/>
      <c r="L15" s="816">
        <f>ROUND(SUM(F15,J15),2)</f>
        <v>0</v>
      </c>
      <c r="M15" s="817"/>
      <c r="N15" s="105"/>
      <c r="O15" s="14"/>
    </row>
    <row r="16" spans="1:256" s="5" customFormat="1" ht="20.100000000000001" customHeight="1" x14ac:dyDescent="0.2">
      <c r="A16"/>
      <c r="B16" s="834" t="str">
        <f>Parametri_DestUsoPersonalizzazione4</f>
        <v xml:space="preserve">Industriale alberghiera </v>
      </c>
      <c r="C16" s="835"/>
      <c r="D16" s="798">
        <f>Ou_Cost_IndAlb_NuovaEdif</f>
        <v>0</v>
      </c>
      <c r="E16" s="798"/>
      <c r="F16" s="798"/>
      <c r="G16" s="234"/>
      <c r="H16" s="798">
        <f>Ou_Rist_IndAlb</f>
        <v>0</v>
      </c>
      <c r="I16" s="798"/>
      <c r="J16" s="798"/>
      <c r="K16" s="237"/>
      <c r="L16" s="236"/>
      <c r="M16" s="236"/>
      <c r="N16" s="44"/>
      <c r="O16"/>
    </row>
    <row r="17" spans="1:15" s="9" customFormat="1" ht="12.75" customHeight="1" x14ac:dyDescent="0.2">
      <c r="A17" s="14"/>
      <c r="B17" s="800" t="s">
        <v>81</v>
      </c>
      <c r="C17" s="801"/>
      <c r="D17" s="140">
        <f>IF(Ou_PrimariaDefiniti="Sì",IF(ISERROR(MATCH(ZonaTerritoriale,ElencoZone,0))=TRUE,0,INDEX(MatriceParametri,MATCH(ZonaTerritoriale,ElencoZone,0),9)),0)</f>
        <v>61.12</v>
      </c>
      <c r="E17" s="107"/>
      <c r="F17" s="125">
        <f>PRODUCT(D16,D17)</f>
        <v>0</v>
      </c>
      <c r="G17" s="127"/>
      <c r="H17" s="140">
        <f>IF(Ou_PrimariaDefiniti="Sì",IF(ISERROR(MATCH(ZonaTerritoriale,ElencoZone,0))=TRUE,0,INDEX(MatriceParametri,MATCH(ZonaTerritoriale,ElencoZone,0),10)),0)</f>
        <v>30.56</v>
      </c>
      <c r="I17" s="107"/>
      <c r="J17" s="125">
        <f>PRODUCT(H16,H17)</f>
        <v>0</v>
      </c>
      <c r="K17" s="239"/>
      <c r="L17" s="816">
        <f>ROUND(SUM(F17,J17),2)</f>
        <v>0</v>
      </c>
      <c r="M17" s="817"/>
      <c r="N17" s="105"/>
      <c r="O17" s="14"/>
    </row>
    <row r="18" spans="1:15" s="9" customFormat="1" ht="12.75" customHeight="1" x14ac:dyDescent="0.2">
      <c r="A18" s="14"/>
      <c r="B18" s="796" t="s">
        <v>82</v>
      </c>
      <c r="C18" s="797"/>
      <c r="D18" s="140">
        <f>IF(Ou_SecDefiniti="Sì",IF(ISERROR(MATCH(ZonaTerritoriale,ElencoZone,0))=TRUE,0,INDEX(MatriceParametri,MATCH(ZonaTerritoriale,ElencoZone,0)+1,9)),0)</f>
        <v>53.47</v>
      </c>
      <c r="E18" s="107"/>
      <c r="F18" s="125">
        <f>PRODUCT(D16,D18)</f>
        <v>0</v>
      </c>
      <c r="G18" s="18"/>
      <c r="H18" s="140">
        <f>IF(Ou_SecDefiniti="Sì",IF(ISERROR(MATCH(ZonaTerritoriale,ElencoZone,0))=TRUE,0,INDEX(MatriceParametri,MATCH(ZonaTerritoriale,ElencoZone,0)+1,10)),0)</f>
        <v>26.73</v>
      </c>
      <c r="I18" s="107"/>
      <c r="J18" s="125">
        <f>PRODUCT(H16,H18)</f>
        <v>0</v>
      </c>
      <c r="K18" s="116"/>
      <c r="L18" s="816">
        <f>ROUND(SUM(F18,J18),2)</f>
        <v>0</v>
      </c>
      <c r="M18" s="817"/>
      <c r="N18" s="105"/>
      <c r="O18" s="14"/>
    </row>
    <row r="19" spans="1:15" s="9" customFormat="1" ht="12.75" customHeight="1" x14ac:dyDescent="0.2">
      <c r="A19" s="14"/>
      <c r="B19" s="796" t="s">
        <v>83</v>
      </c>
      <c r="C19" s="797"/>
      <c r="D19" s="140">
        <f>IF(ISERROR(MATCH(ZonaTerritoriale,ElencoZone,0))=TRUE,0,INDEX(MatriceParametri,MATCH(ZonaTerritoriale,ElencoZone,0)+2,9))</f>
        <v>0</v>
      </c>
      <c r="E19" s="107"/>
      <c r="F19" s="125">
        <f>PRODUCT(D16,D19)</f>
        <v>0</v>
      </c>
      <c r="G19" s="18"/>
      <c r="H19" s="140">
        <f>IF(ISERROR(MATCH(ZonaTerritoriale,ElencoZone,0))=TRUE,0,INDEX(MatriceParametri,MATCH(ZonaTerritoriale,ElencoZone,0)+2,10))</f>
        <v>0</v>
      </c>
      <c r="I19" s="107"/>
      <c r="J19" s="125">
        <f>PRODUCT(H16,H19)</f>
        <v>0</v>
      </c>
      <c r="K19" s="116"/>
      <c r="L19" s="816">
        <f>ROUND(SUM(F19,J19),2)</f>
        <v>0</v>
      </c>
      <c r="M19" s="817"/>
      <c r="N19" s="105"/>
      <c r="O19" s="14"/>
    </row>
    <row r="20" spans="1:15" s="5" customFormat="1" ht="20.100000000000001" customHeight="1" x14ac:dyDescent="0.2">
      <c r="A20"/>
      <c r="B20" s="834" t="str">
        <f>Parametri_DestUsoPersonalizzazione5</f>
        <v>Parcheggi, silos (posto auto)</v>
      </c>
      <c r="C20" s="835"/>
      <c r="D20" s="798">
        <f>Ou_Cost_Parc_NuovaEdif</f>
        <v>0</v>
      </c>
      <c r="E20" s="798"/>
      <c r="F20" s="798"/>
      <c r="G20" s="236"/>
      <c r="H20" s="798">
        <f>Ou_Rist_ParSil</f>
        <v>0</v>
      </c>
      <c r="I20" s="798"/>
      <c r="J20" s="798"/>
      <c r="K20" s="237"/>
      <c r="L20" s="236"/>
      <c r="M20" s="236"/>
      <c r="N20" s="44"/>
      <c r="O20"/>
    </row>
    <row r="21" spans="1:15" s="5" customFormat="1" ht="12.75" customHeight="1" x14ac:dyDescent="0.2">
      <c r="A21" s="14"/>
      <c r="B21" s="800" t="s">
        <v>81</v>
      </c>
      <c r="C21" s="801"/>
      <c r="D21" s="137">
        <f>IF(Ou_PrimariaDefiniti="Sì",IF(ISERROR(MATCH(ZonaTerritoriale,ElencoZone,0))=TRUE,0,INDEX(MatriceParametri,MATCH(ZonaTerritoriale,ElencoZone,0),11)),0)</f>
        <v>132.62</v>
      </c>
      <c r="E21" s="107"/>
      <c r="F21" s="125">
        <f>PRODUCT(D20,D21)</f>
        <v>0</v>
      </c>
      <c r="G21" s="127"/>
      <c r="H21" s="140">
        <f>IF(Ou_PrimariaDefiniti="Sì",IF(ISERROR(MATCH(ZonaTerritoriale,ElencoZone,0))=TRUE,0,INDEX(MatriceParametri,MATCH(ZonaTerritoriale,ElencoZone,0),12)),0)</f>
        <v>0</v>
      </c>
      <c r="I21" s="107"/>
      <c r="J21" s="125">
        <f>PRODUCT(H20,H21)</f>
        <v>0</v>
      </c>
      <c r="K21" s="239"/>
      <c r="L21" s="816">
        <f>ROUND(SUM(F21,J21),2)</f>
        <v>0</v>
      </c>
      <c r="M21" s="817"/>
      <c r="N21" s="105"/>
      <c r="O21"/>
    </row>
    <row r="22" spans="1:15" s="5" customFormat="1" ht="12.75" customHeight="1" x14ac:dyDescent="0.2">
      <c r="A22" s="14"/>
      <c r="B22" s="796" t="s">
        <v>82</v>
      </c>
      <c r="C22" s="797"/>
      <c r="D22" s="138">
        <f>IF(Ou_SecDefiniti="Sì",IF(ISERROR(MATCH(ZonaTerritoriale,ElencoZone,0))=TRUE,0,INDEX(MatriceParametri,MATCH(ZonaTerritoriale,ElencoZone,0)+1,11)),0)</f>
        <v>62.04</v>
      </c>
      <c r="E22" s="107"/>
      <c r="F22" s="125">
        <f>PRODUCT(D20,D22)</f>
        <v>0</v>
      </c>
      <c r="G22" s="18"/>
      <c r="H22" s="140">
        <f>IF(Ou_SecDefiniti="Sì",IF(ISERROR(MATCH(ZonaTerritoriale,ElencoZone,0))=TRUE,0,INDEX(MatriceParametri,MATCH(ZonaTerritoriale,ElencoZone,0)+1,12)),0)</f>
        <v>0</v>
      </c>
      <c r="I22" s="107"/>
      <c r="J22" s="125">
        <f>PRODUCT(H20,H22)</f>
        <v>0</v>
      </c>
      <c r="K22" s="116"/>
      <c r="L22" s="816">
        <f>ROUND(SUM(F22,J22),2)</f>
        <v>0</v>
      </c>
      <c r="M22" s="817"/>
      <c r="N22" s="105"/>
      <c r="O22"/>
    </row>
    <row r="23" spans="1:15" s="9" customFormat="1" ht="12.75" customHeight="1" x14ac:dyDescent="0.2">
      <c r="A23" s="14"/>
      <c r="B23" s="796" t="s">
        <v>83</v>
      </c>
      <c r="C23" s="797"/>
      <c r="D23" s="140">
        <f>IF(ISERROR(MATCH(ZonaTerritoriale,ElencoZone,0))=TRUE,0,INDEX(MatriceParametri,MATCH(ZonaTerritoriale,ElencoZone,0)+2,11))</f>
        <v>0</v>
      </c>
      <c r="E23" s="107"/>
      <c r="F23" s="125">
        <f>PRODUCT(D20,D23)</f>
        <v>0</v>
      </c>
      <c r="G23" s="18"/>
      <c r="H23" s="140">
        <f>IF(ISERROR(MATCH(ZonaTerritoriale,ElencoZone,0))=TRUE,0,INDEX(MatriceParametri,MATCH(ZonaTerritoriale,ElencoZone,0)+2,12))</f>
        <v>0</v>
      </c>
      <c r="I23" s="107"/>
      <c r="J23" s="125">
        <f>PRODUCT(H20,H23)</f>
        <v>0</v>
      </c>
      <c r="K23" s="116"/>
      <c r="L23" s="816">
        <f>ROUND(SUM(F23,J23),2)</f>
        <v>0</v>
      </c>
      <c r="M23" s="817"/>
      <c r="N23" s="105"/>
      <c r="O23" s="14"/>
    </row>
    <row r="24" spans="1:15" s="5" customFormat="1" ht="20.100000000000001" customHeight="1" x14ac:dyDescent="0.2">
      <c r="A24"/>
      <c r="B24" s="233" t="str">
        <f>Parametri_DestUsoPersonalizzazione6</f>
        <v>Attrezzature culturali e sanitarie</v>
      </c>
      <c r="C24" s="238"/>
      <c r="D24" s="798">
        <f>Ou_Cost_AttCulSan_NuovaEdif</f>
        <v>0</v>
      </c>
      <c r="E24" s="798"/>
      <c r="F24" s="798"/>
      <c r="G24" s="236"/>
      <c r="H24" s="798">
        <f>Ou_Rist_CultSan</f>
        <v>0</v>
      </c>
      <c r="I24" s="798"/>
      <c r="J24" s="798"/>
      <c r="K24" s="237"/>
      <c r="L24" s="236"/>
      <c r="M24" s="236"/>
      <c r="N24" s="44"/>
      <c r="O24"/>
    </row>
    <row r="25" spans="1:15" s="5" customFormat="1" ht="12.75" customHeight="1" x14ac:dyDescent="0.2">
      <c r="A25" s="14"/>
      <c r="B25" s="800" t="s">
        <v>81</v>
      </c>
      <c r="C25" s="801"/>
      <c r="D25" s="137">
        <f>IF(Ou_PrimariaDefiniti="Sì",IF(ISERROR(MATCH(ZonaTerritoriale,ElencoZone,0))=TRUE,0,INDEX(MatriceParametri,MATCH(ZonaTerritoriale,ElencoZone,0),13)),0)</f>
        <v>15.28</v>
      </c>
      <c r="E25" s="107"/>
      <c r="F25" s="125">
        <f>PRODUCT(D24,D25)</f>
        <v>0</v>
      </c>
      <c r="G25" s="127"/>
      <c r="H25" s="140">
        <f>IF(Ou_PrimariaDefiniti="Sì",IF(ISERROR(MATCH(ZonaTerritoriale,ElencoZone,0))=TRUE,0,INDEX(MatriceParametri,MATCH(ZonaTerritoriale,ElencoZone,0),14)),0)</f>
        <v>0</v>
      </c>
      <c r="I25" s="107"/>
      <c r="J25" s="125">
        <f>PRODUCT(H24,H25)</f>
        <v>0</v>
      </c>
      <c r="K25" s="239"/>
      <c r="L25" s="816">
        <f>ROUND(SUM(F25,J25),2)</f>
        <v>0</v>
      </c>
      <c r="M25" s="817"/>
      <c r="N25" s="105"/>
      <c r="O25"/>
    </row>
    <row r="26" spans="1:15" s="5" customFormat="1" ht="12.75" customHeight="1" x14ac:dyDescent="0.2">
      <c r="A26" s="14"/>
      <c r="B26" s="796" t="s">
        <v>82</v>
      </c>
      <c r="C26" s="797"/>
      <c r="D26" s="138">
        <f>IF(Ou_SecDefiniti="Sì",IF(ISERROR(MATCH(ZonaTerritoriale,ElencoZone,0))=TRUE,0,INDEX(MatriceParametri,MATCH(ZonaTerritoriale,ElencoZone,0)+1,13)),0)</f>
        <v>4.58</v>
      </c>
      <c r="E26" s="107"/>
      <c r="F26" s="125">
        <f>PRODUCT(D24,D26)</f>
        <v>0</v>
      </c>
      <c r="G26" s="18"/>
      <c r="H26" s="140">
        <f>IF(Ou_SecDefiniti="Sì",IF(ISERROR(MATCH(ZonaTerritoriale,ElencoZone,0))=TRUE,0,INDEX(MatriceParametri,MATCH(ZonaTerritoriale,ElencoZone,0)+1,14)),0)</f>
        <v>0</v>
      </c>
      <c r="I26" s="107"/>
      <c r="J26" s="125">
        <f>PRODUCT(H24,H26)</f>
        <v>0</v>
      </c>
      <c r="K26" s="116"/>
      <c r="L26" s="816">
        <f>ROUND(SUM(F26,J26),2)</f>
        <v>0</v>
      </c>
      <c r="M26" s="817"/>
      <c r="N26" s="105"/>
      <c r="O26"/>
    </row>
    <row r="27" spans="1:15" s="9" customFormat="1" ht="12.75" customHeight="1" x14ac:dyDescent="0.2">
      <c r="A27" s="14"/>
      <c r="B27" s="796" t="s">
        <v>83</v>
      </c>
      <c r="C27" s="797"/>
      <c r="D27" s="140">
        <f>IF(ISERROR(MATCH(ZonaTerritoriale,ElencoZone,0))=TRUE,0,INDEX(MatriceParametri,MATCH(ZonaTerritoriale,ElencoZone,0)+2,13))</f>
        <v>0</v>
      </c>
      <c r="E27" s="107"/>
      <c r="F27" s="125">
        <f>PRODUCT(D24,D27)</f>
        <v>0</v>
      </c>
      <c r="G27" s="18"/>
      <c r="H27" s="140">
        <f>IF(ISERROR(MATCH(ZonaTerritoriale,ElencoZone,0))=TRUE,0,INDEX(MatriceParametri,MATCH(ZonaTerritoriale,ElencoZone,0)+2,14))</f>
        <v>0</v>
      </c>
      <c r="I27" s="107"/>
      <c r="J27" s="125">
        <f>PRODUCT(H24,H27)</f>
        <v>0</v>
      </c>
      <c r="K27" s="116"/>
      <c r="L27" s="816">
        <f>ROUND(SUM(F27,J27),2)</f>
        <v>0</v>
      </c>
      <c r="M27" s="817"/>
      <c r="N27" s="105"/>
      <c r="O27" s="14"/>
    </row>
    <row r="28" spans="1:15" s="5" customFormat="1" ht="20.100000000000001" customHeight="1" x14ac:dyDescent="0.2">
      <c r="A28"/>
      <c r="B28" s="834" t="str">
        <f>Parametri_DestUsoPersonalizzazione7</f>
        <v>Attrezzature sportive</v>
      </c>
      <c r="C28" s="835"/>
      <c r="D28" s="798">
        <f>Ou_Cost_AttSport_NuovaEdif</f>
        <v>0</v>
      </c>
      <c r="E28" s="798"/>
      <c r="F28" s="798"/>
      <c r="G28" s="236"/>
      <c r="H28" s="798">
        <f>Ou_Rist_AttSpor</f>
        <v>0</v>
      </c>
      <c r="I28" s="798"/>
      <c r="J28" s="798"/>
      <c r="K28" s="237"/>
      <c r="L28" s="236"/>
      <c r="M28" s="236"/>
      <c r="N28" s="44"/>
      <c r="O28"/>
    </row>
    <row r="29" spans="1:15" s="5" customFormat="1" ht="12.75" customHeight="1" x14ac:dyDescent="0.2">
      <c r="A29" s="14"/>
      <c r="B29" s="800" t="s">
        <v>81</v>
      </c>
      <c r="C29" s="801"/>
      <c r="D29" s="137">
        <f>IF(Ou_PrimariaDefiniti="Sì",IF(ISERROR(MATCH(ZonaTerritoriale,ElencoZone,0))=TRUE,0,INDEX(MatriceParametri,MATCH(ZonaTerritoriale,ElencoZone,0),15)),0)</f>
        <v>6.88</v>
      </c>
      <c r="E29" s="107"/>
      <c r="F29" s="125">
        <f>PRODUCT(D28,D29)</f>
        <v>0</v>
      </c>
      <c r="G29" s="127"/>
      <c r="H29" s="140">
        <f>IF(Ou_PrimariaDefiniti="Sì",IF(ISERROR(MATCH(ZonaTerritoriale,ElencoZone,0))=TRUE,0,INDEX(MatriceParametri,MATCH(ZonaTerritoriale,ElencoZone,0),16)),0)</f>
        <v>0</v>
      </c>
      <c r="I29" s="107"/>
      <c r="J29" s="125">
        <f>PRODUCT(H28,H29)</f>
        <v>0</v>
      </c>
      <c r="K29" s="239"/>
      <c r="L29" s="816">
        <f>ROUND(SUM(F29,J29),2)</f>
        <v>0</v>
      </c>
      <c r="M29" s="817"/>
      <c r="N29" s="105"/>
      <c r="O29"/>
    </row>
    <row r="30" spans="1:15" s="5" customFormat="1" ht="12.75" customHeight="1" x14ac:dyDescent="0.2">
      <c r="A30" s="14"/>
      <c r="B30" s="796" t="s">
        <v>82</v>
      </c>
      <c r="C30" s="797"/>
      <c r="D30" s="138">
        <f>IF(Ou_SecDefiniti="Sì",IF(ISERROR(MATCH(ZonaTerritoriale,ElencoZone,0))=TRUE,0,INDEX(MatriceParametri,MATCH(ZonaTerritoriale,ElencoZone,0)+1,15)),0)</f>
        <v>2.2999999999999998</v>
      </c>
      <c r="E30" s="107"/>
      <c r="F30" s="125">
        <f>PRODUCT(D28,D30)</f>
        <v>0</v>
      </c>
      <c r="G30" s="18"/>
      <c r="H30" s="140">
        <f>IF(Ou_SecDefiniti="Sì",IF(ISERROR(MATCH(ZonaTerritoriale,ElencoZone,0))=TRUE,0,INDEX(MatriceParametri,MATCH(ZonaTerritoriale,ElencoZone,0)+1,16)),0)</f>
        <v>0</v>
      </c>
      <c r="I30" s="107"/>
      <c r="J30" s="125">
        <f>PRODUCT(H28,H30)</f>
        <v>0</v>
      </c>
      <c r="K30" s="116"/>
      <c r="L30" s="816">
        <f>ROUND(SUM(F30,J30),2)</f>
        <v>0</v>
      </c>
      <c r="M30" s="817"/>
      <c r="N30" s="105"/>
      <c r="O30"/>
    </row>
    <row r="31" spans="1:15" s="9" customFormat="1" ht="12.75" customHeight="1" x14ac:dyDescent="0.2">
      <c r="A31" s="14"/>
      <c r="B31" s="796" t="s">
        <v>83</v>
      </c>
      <c r="C31" s="797"/>
      <c r="D31" s="140">
        <f>IF(ISERROR(MATCH(ZonaTerritoriale,ElencoZone,0))=TRUE,0,INDEX(MatriceParametri,MATCH(ZonaTerritoriale,ElencoZone,0)+2,15))</f>
        <v>0</v>
      </c>
      <c r="E31" s="107"/>
      <c r="F31" s="125">
        <f>PRODUCT(D28,D31)</f>
        <v>0</v>
      </c>
      <c r="G31" s="18"/>
      <c r="H31" s="140">
        <f>IF(ISERROR(MATCH(ZonaTerritoriale,ElencoZone,0))=TRUE,0,INDEX(MatriceParametri,MATCH(ZonaTerritoriale,ElencoZone,0)+2,16))</f>
        <v>0</v>
      </c>
      <c r="I31" s="107"/>
      <c r="J31" s="125">
        <f>PRODUCT(H28,H31)</f>
        <v>0</v>
      </c>
      <c r="K31" s="116"/>
      <c r="L31" s="816">
        <f>ROUND(SUM(F31,J31),2)</f>
        <v>0</v>
      </c>
      <c r="M31" s="817"/>
      <c r="N31" s="105"/>
      <c r="O31" s="14"/>
    </row>
    <row r="32" spans="1:15" s="5" customFormat="1" ht="20.100000000000001" customHeight="1" x14ac:dyDescent="0.2">
      <c r="A32"/>
      <c r="B32" s="834" t="str">
        <f>Parametri_DestUsoPersonalizzazione8</f>
        <v>Attrezzature spettacolo</v>
      </c>
      <c r="C32" s="835"/>
      <c r="D32" s="798">
        <f>Ou_Cost_AttSpett_NuovaEdif</f>
        <v>0</v>
      </c>
      <c r="E32" s="798"/>
      <c r="F32" s="798"/>
      <c r="G32" s="236"/>
      <c r="H32" s="798">
        <f>Ou_Rist_AttSpet</f>
        <v>0</v>
      </c>
      <c r="I32" s="798"/>
      <c r="J32" s="798"/>
      <c r="K32" s="237"/>
      <c r="L32" s="236"/>
      <c r="M32" s="236"/>
      <c r="N32" s="44"/>
      <c r="O32"/>
    </row>
    <row r="33" spans="1:15" s="5" customFormat="1" ht="12.75" customHeight="1" x14ac:dyDescent="0.2">
      <c r="A33" s="14"/>
      <c r="B33" s="800" t="s">
        <v>81</v>
      </c>
      <c r="C33" s="801"/>
      <c r="D33" s="137">
        <f>IF(Ou_PrimariaDefiniti="Sì",IF(ISERROR(MATCH(ZonaTerritoriale,ElencoZone,0))=TRUE,0,INDEX(MatriceParametri,MATCH(ZonaTerritoriale,ElencoZone,0),17)),0)</f>
        <v>19.87</v>
      </c>
      <c r="E33" s="107"/>
      <c r="F33" s="125">
        <f>PRODUCT(D32,D33)</f>
        <v>0</v>
      </c>
      <c r="G33" s="127"/>
      <c r="H33" s="140">
        <f>IF(Ou_PrimariaDefiniti="Sì",IF(ISERROR(MATCH(ZonaTerritoriale,ElencoZone,0))=TRUE,0,INDEX(MatriceParametri,MATCH(ZonaTerritoriale,ElencoZone,0),18)),0)</f>
        <v>0</v>
      </c>
      <c r="I33" s="107"/>
      <c r="J33" s="125">
        <f>PRODUCT(H32,H33)</f>
        <v>0</v>
      </c>
      <c r="K33" s="239"/>
      <c r="L33" s="816">
        <f>ROUND(SUM(F33,J33),2)</f>
        <v>0</v>
      </c>
      <c r="M33" s="817"/>
      <c r="N33" s="105"/>
      <c r="O33"/>
    </row>
    <row r="34" spans="1:15" s="5" customFormat="1" ht="12.75" customHeight="1" x14ac:dyDescent="0.2">
      <c r="A34" s="14"/>
      <c r="B34" s="796" t="s">
        <v>82</v>
      </c>
      <c r="C34" s="797"/>
      <c r="D34" s="138">
        <f>IF(Ou_SecDefiniti="Sì",IF(ISERROR(MATCH(ZonaTerritoriale,ElencoZone,0))=TRUE,0,INDEX(MatriceParametri,MATCH(ZonaTerritoriale,ElencoZone,0)+1,17)),0)</f>
        <v>6.88</v>
      </c>
      <c r="E34" s="107"/>
      <c r="F34" s="125">
        <f>PRODUCT(D32,D34)</f>
        <v>0</v>
      </c>
      <c r="G34" s="18"/>
      <c r="H34" s="140">
        <f>IF(Ou_SecDefiniti="Sì",IF(ISERROR(MATCH(ZonaTerritoriale,ElencoZone,0))=TRUE,0,INDEX(MatriceParametri,MATCH(ZonaTerritoriale,ElencoZone,0)+1,18)),0)</f>
        <v>0</v>
      </c>
      <c r="I34" s="107"/>
      <c r="J34" s="125">
        <f>PRODUCT(H32,H34)</f>
        <v>0</v>
      </c>
      <c r="K34" s="116"/>
      <c r="L34" s="816">
        <f>ROUND(SUM(F34,J34),2)</f>
        <v>0</v>
      </c>
      <c r="M34" s="817"/>
      <c r="N34" s="105"/>
      <c r="O34"/>
    </row>
    <row r="35" spans="1:15" s="9" customFormat="1" ht="12.75" customHeight="1" x14ac:dyDescent="0.2">
      <c r="A35" s="14"/>
      <c r="B35" s="796" t="s">
        <v>83</v>
      </c>
      <c r="C35" s="797"/>
      <c r="D35" s="140">
        <f>IF(ISERROR(MATCH(ZonaTerritoriale,ElencoZone,0))=TRUE,0,INDEX(MatriceParametri,MATCH(ZonaTerritoriale,ElencoZone,0)+2,17))</f>
        <v>0</v>
      </c>
      <c r="E35" s="107"/>
      <c r="F35" s="125">
        <f>PRODUCT(D32,D35)</f>
        <v>0</v>
      </c>
      <c r="G35" s="18"/>
      <c r="H35" s="140">
        <f>IF(ISERROR(MATCH(ZonaTerritoriale,ElencoZone,0))=TRUE,0,INDEX(MatriceParametri,MATCH(ZonaTerritoriale,ElencoZone,0)+2,18))</f>
        <v>0</v>
      </c>
      <c r="I35" s="107"/>
      <c r="J35" s="125">
        <f>PRODUCT(H32,H35)</f>
        <v>0</v>
      </c>
      <c r="K35" s="116"/>
      <c r="L35" s="816">
        <f>ROUND(SUM(F35,J35),2)</f>
        <v>0</v>
      </c>
      <c r="M35" s="817"/>
      <c r="N35" s="105"/>
      <c r="O35" s="14"/>
    </row>
    <row r="36" spans="1:15" s="5" customFormat="1" ht="20.100000000000001" customHeight="1" x14ac:dyDescent="0.2">
      <c r="A36"/>
      <c r="B36" s="233" t="s">
        <v>109</v>
      </c>
      <c r="C36" s="238"/>
      <c r="D36" s="798">
        <f>Ou_NuovaEd_Sottotetti_ParReale</f>
        <v>0</v>
      </c>
      <c r="E36" s="798"/>
      <c r="F36" s="798"/>
      <c r="G36" s="236"/>
      <c r="H36" s="236"/>
      <c r="I36" s="236"/>
      <c r="J36" s="236"/>
      <c r="K36" s="236"/>
      <c r="L36" s="236"/>
      <c r="M36" s="236"/>
      <c r="N36" s="44"/>
      <c r="O36"/>
    </row>
    <row r="37" spans="1:15" s="9" customFormat="1" ht="12.75" customHeight="1" x14ac:dyDescent="0.2">
      <c r="A37" s="14"/>
      <c r="B37" s="108"/>
      <c r="C37" s="109" t="s">
        <v>81</v>
      </c>
      <c r="D37" s="137">
        <f>IF(Ou_PrimariaDefiniti="Sì",IF(ISERROR(MATCH(ZonaTerritoriale,ElencoZone,0))=TRUE,0,INDEX(MatriceParametri,MATCH(ZonaTerritoriale,ElencoZone,0),1)),0)</f>
        <v>4.3600000000000003</v>
      </c>
      <c r="E37" s="107"/>
      <c r="F37" s="125">
        <f>PRODUCT(D36,D37)</f>
        <v>0</v>
      </c>
      <c r="G37" s="240"/>
      <c r="H37" s="241"/>
      <c r="I37" s="241"/>
      <c r="J37" s="241"/>
      <c r="K37" s="242"/>
      <c r="L37" s="830">
        <f>F37</f>
        <v>0</v>
      </c>
      <c r="M37" s="830"/>
      <c r="N37" s="105"/>
      <c r="O37" s="14"/>
    </row>
    <row r="38" spans="1:15" s="9" customFormat="1" ht="12.75" customHeight="1" x14ac:dyDescent="0.2">
      <c r="A38" s="14"/>
      <c r="B38" s="106"/>
      <c r="C38" s="109" t="s">
        <v>82</v>
      </c>
      <c r="D38" s="138">
        <f>IF(Ou_SecDefiniti="Sì",IF(ISERROR(MATCH(ZonaTerritoriale,ElencoZone,0))=TRUE,0,INDEX(MatriceParametri,MATCH(ZonaTerritoriale,ElencoZone,0)+1,1)),0)</f>
        <v>9.66</v>
      </c>
      <c r="E38" s="107"/>
      <c r="F38" s="125">
        <f>PRODUCT(D36,D38)</f>
        <v>0</v>
      </c>
      <c r="G38" s="18"/>
      <c r="H38" s="18"/>
      <c r="I38" s="18"/>
      <c r="J38" s="18"/>
      <c r="K38" s="18"/>
      <c r="L38" s="830">
        <f>F38</f>
        <v>0</v>
      </c>
      <c r="M38" s="830"/>
      <c r="N38" s="105"/>
      <c r="O38" s="14"/>
    </row>
    <row r="39" spans="1:15" s="9" customFormat="1" ht="12.75" customHeight="1" x14ac:dyDescent="0.2">
      <c r="A39" s="14"/>
      <c r="B39" s="108"/>
      <c r="C39" s="109" t="s">
        <v>83</v>
      </c>
      <c r="D39" s="138">
        <f>IF(ISERROR(MATCH(ZonaTerritoriale,ElencoZone,0))=TRUE,0,INDEX(MatriceParametri,MATCH(ZonaTerritoriale,ElencoZone,0)+2,1))</f>
        <v>0</v>
      </c>
      <c r="E39" s="107"/>
      <c r="F39" s="125">
        <f>PRODUCT(D36,D39)</f>
        <v>0</v>
      </c>
      <c r="G39" s="18"/>
      <c r="H39" s="18"/>
      <c r="I39" s="18"/>
      <c r="J39" s="18"/>
      <c r="K39" s="18"/>
      <c r="L39" s="830">
        <f>SUM(F39,J39)</f>
        <v>0</v>
      </c>
      <c r="M39" s="830"/>
      <c r="N39" s="105"/>
      <c r="O39" s="14"/>
    </row>
    <row r="40" spans="1:15" s="5" customFormat="1" ht="20.100000000000001" customHeight="1" x14ac:dyDescent="0.2">
      <c r="A40"/>
      <c r="B40" s="834" t="str">
        <f>Parametri_DestUsoPersonalizzazione9</f>
        <v>attività industriale</v>
      </c>
      <c r="C40" s="835"/>
      <c r="D40" s="798">
        <f>Ou_Cost_Personalizzazione1_NuovaEdif</f>
        <v>0</v>
      </c>
      <c r="E40" s="798"/>
      <c r="F40" s="798"/>
      <c r="G40" s="236"/>
      <c r="H40" s="798">
        <f>Ou_Rist_Personalizzazione1</f>
        <v>0</v>
      </c>
      <c r="I40" s="798"/>
      <c r="J40" s="798"/>
      <c r="K40" s="237"/>
      <c r="L40" s="236"/>
      <c r="M40" s="236"/>
      <c r="N40" s="44"/>
      <c r="O40"/>
    </row>
    <row r="41" spans="1:15" s="5" customFormat="1" ht="12.75" customHeight="1" x14ac:dyDescent="0.2">
      <c r="A41" s="14"/>
      <c r="B41" s="800" t="s">
        <v>81</v>
      </c>
      <c r="C41" s="801"/>
      <c r="D41" s="137">
        <f>IF(Ou_PrimariaDefiniti="Sì",IF(ISERROR(MATCH(ZonaTerritoriale,ElencoZone,0))=TRUE,0,INDEX(MatriceParametri,MATCH(ZonaTerritoriale,ElencoZone,0),19)),0)</f>
        <v>19.09</v>
      </c>
      <c r="E41" s="107"/>
      <c r="F41" s="125">
        <f>PRODUCT(D40,D41)</f>
        <v>0</v>
      </c>
      <c r="G41" s="127"/>
      <c r="H41" s="140">
        <f>IF(Ou_PrimariaDefiniti="Sì",IF(ISERROR(MATCH(ZonaTerritoriale,ElencoZone,0))=TRUE,0,INDEX(MatriceParametri,MATCH(ZonaTerritoriale,ElencoZone,0),20)),0)</f>
        <v>9.5500000000000007</v>
      </c>
      <c r="I41" s="107"/>
      <c r="J41" s="125">
        <f>PRODUCT(H40,H41)</f>
        <v>0</v>
      </c>
      <c r="K41" s="239"/>
      <c r="L41" s="830">
        <f>ROUND(SUM(F41,J41),2)</f>
        <v>0</v>
      </c>
      <c r="M41" s="830"/>
      <c r="N41" s="105"/>
      <c r="O41"/>
    </row>
    <row r="42" spans="1:15" s="5" customFormat="1" ht="12.75" customHeight="1" x14ac:dyDescent="0.2">
      <c r="A42" s="14"/>
      <c r="B42" s="796" t="s">
        <v>82</v>
      </c>
      <c r="C42" s="797"/>
      <c r="D42" s="138">
        <f>IF(Ou_SecDefiniti="Sì",IF(ISERROR(MATCH(ZonaTerritoriale,ElencoZone,0))=TRUE,0,INDEX(MatriceParametri,MATCH(ZonaTerritoriale,ElencoZone,0)+1,19)),0)</f>
        <v>17.57</v>
      </c>
      <c r="E42" s="107"/>
      <c r="F42" s="125">
        <f>PRODUCT(D40,D42)</f>
        <v>0</v>
      </c>
      <c r="G42" s="18"/>
      <c r="H42" s="140">
        <f>IF(Ou_SecDefiniti="Sì",IF(ISERROR(MATCH(ZonaTerritoriale,ElencoZone,0))=TRUE,0,INDEX(MatriceParametri,MATCH(ZonaTerritoriale,ElencoZone,0)+1,20)),0)</f>
        <v>8.7899999999999991</v>
      </c>
      <c r="I42" s="107"/>
      <c r="J42" s="125">
        <f>PRODUCT(H40,H42)</f>
        <v>0</v>
      </c>
      <c r="K42" s="116"/>
      <c r="L42" s="830">
        <f>ROUND(SUM(F42,J42),2)</f>
        <v>0</v>
      </c>
      <c r="M42" s="830"/>
      <c r="N42" s="105"/>
      <c r="O42"/>
    </row>
    <row r="43" spans="1:15" s="9" customFormat="1" ht="12.75" customHeight="1" x14ac:dyDescent="0.2">
      <c r="A43" s="14"/>
      <c r="B43" s="796" t="s">
        <v>83</v>
      </c>
      <c r="C43" s="797"/>
      <c r="D43" s="140">
        <f>IF(ISERROR(MATCH(ZonaTerritoriale,ElencoZone,0))=TRUE,0,INDEX(MatriceParametri,MATCH(ZonaTerritoriale,ElencoZone,0)+2,19))</f>
        <v>6.11</v>
      </c>
      <c r="E43" s="107"/>
      <c r="F43" s="125">
        <f>PRODUCT(D40,D43)</f>
        <v>0</v>
      </c>
      <c r="G43" s="18"/>
      <c r="H43" s="140">
        <f>IF(ISERROR(MATCH(ZonaTerritoriale,ElencoZone,0))=TRUE,0,INDEX(MatriceParametri,MATCH(ZonaTerritoriale,ElencoZone,0)+2,20))</f>
        <v>3.05</v>
      </c>
      <c r="I43" s="107"/>
      <c r="J43" s="125">
        <f>PRODUCT(H40,H43)</f>
        <v>0</v>
      </c>
      <c r="K43" s="116"/>
      <c r="L43" s="830">
        <f>ROUND(SUM(F43,J43),2)</f>
        <v>0</v>
      </c>
      <c r="M43" s="830"/>
      <c r="N43" s="105"/>
      <c r="O43" s="14"/>
    </row>
    <row r="44" spans="1:15" s="5" customFormat="1" ht="20.100000000000001" customHeight="1" x14ac:dyDescent="0.2">
      <c r="A44"/>
      <c r="B44" s="834" t="str">
        <f>Parametri_DestUsoPersonalizzazione10</f>
        <v>Destinazione ulteriore 2</v>
      </c>
      <c r="C44" s="835"/>
      <c r="D44" s="798">
        <f>Ou_Cost_Personalizzazione2_NuovaEdif</f>
        <v>0</v>
      </c>
      <c r="E44" s="798"/>
      <c r="F44" s="798"/>
      <c r="G44" s="236"/>
      <c r="H44" s="798">
        <f>Ou_Rist_Personalizzazione2</f>
        <v>0</v>
      </c>
      <c r="I44" s="798"/>
      <c r="J44" s="798"/>
      <c r="K44" s="237"/>
      <c r="L44" s="236"/>
      <c r="M44" s="236"/>
      <c r="N44" s="44"/>
      <c r="O44"/>
    </row>
    <row r="45" spans="1:15" s="5" customFormat="1" ht="12.75" customHeight="1" x14ac:dyDescent="0.2">
      <c r="A45" s="14"/>
      <c r="B45" s="800" t="s">
        <v>81</v>
      </c>
      <c r="C45" s="801"/>
      <c r="D45" s="137">
        <f>IF(Ou_PrimariaDefiniti="Sì",IF(ISERROR(MATCH(ZonaTerritoriale,ElencoZone,0))=TRUE,0,INDEX(MatriceParametri,MATCH(ZonaTerritoriale,ElencoZone,0),21)),0)</f>
        <v>0</v>
      </c>
      <c r="E45" s="107"/>
      <c r="F45" s="125">
        <f>PRODUCT(D44,D45)</f>
        <v>0</v>
      </c>
      <c r="G45" s="127"/>
      <c r="H45" s="140">
        <f>IF(Ou_PrimariaDefiniti="Sì",IF(ISERROR(MATCH(ZonaTerritoriale,ElencoZone,0))=TRUE,0,INDEX(MatriceParametri,MATCH(ZonaTerritoriale,ElencoZone,0),22)),0)</f>
        <v>0</v>
      </c>
      <c r="I45" s="107"/>
      <c r="J45" s="125">
        <f>PRODUCT(H44,H45)</f>
        <v>0</v>
      </c>
      <c r="K45" s="239"/>
      <c r="L45" s="830">
        <f>ROUND(SUM(F45,J45),2)</f>
        <v>0</v>
      </c>
      <c r="M45" s="830"/>
      <c r="N45" s="105"/>
      <c r="O45"/>
    </row>
    <row r="46" spans="1:15" s="5" customFormat="1" ht="12.75" customHeight="1" x14ac:dyDescent="0.2">
      <c r="A46" s="14"/>
      <c r="B46" s="796" t="s">
        <v>82</v>
      </c>
      <c r="C46" s="797"/>
      <c r="D46" s="138">
        <f>IF(Ou_SecDefiniti="Sì",IF(ISERROR(MATCH(ZonaTerritoriale,ElencoZone,0))=TRUE,0,INDEX(MatriceParametri,MATCH(ZonaTerritoriale,ElencoZone,0)+1,21)),0)</f>
        <v>0</v>
      </c>
      <c r="E46" s="107"/>
      <c r="F46" s="125">
        <f>PRODUCT(D44,D46)</f>
        <v>0</v>
      </c>
      <c r="G46" s="18"/>
      <c r="H46" s="140">
        <f>IF(Ou_SecDefiniti="Sì",IF(ISERROR(MATCH(ZonaTerritoriale,ElencoZone,0))=TRUE,0,INDEX(MatriceParametri,MATCH(ZonaTerritoriale,ElencoZone,0)+1,22)),0)</f>
        <v>0</v>
      </c>
      <c r="I46" s="107"/>
      <c r="J46" s="125">
        <f>PRODUCT(H44,H46)</f>
        <v>0</v>
      </c>
      <c r="K46" s="116"/>
      <c r="L46" s="830">
        <f>ROUND(SUM(F46,J46),2)</f>
        <v>0</v>
      </c>
      <c r="M46" s="830"/>
      <c r="N46" s="105"/>
      <c r="O46"/>
    </row>
    <row r="47" spans="1:15" s="9" customFormat="1" ht="12.75" customHeight="1" x14ac:dyDescent="0.2">
      <c r="A47" s="14"/>
      <c r="B47" s="796" t="s">
        <v>83</v>
      </c>
      <c r="C47" s="797"/>
      <c r="D47" s="140">
        <f>IF(ISERROR(MATCH(ZonaTerritoriale,ElencoZone,0))=TRUE,0,INDEX(MatriceParametri,MATCH(ZonaTerritoriale,ElencoZone,0)+2,21))</f>
        <v>0</v>
      </c>
      <c r="E47" s="107"/>
      <c r="F47" s="125">
        <f>PRODUCT(D44,D47)</f>
        <v>0</v>
      </c>
      <c r="G47" s="18"/>
      <c r="H47" s="140">
        <f>IF(ISERROR(MATCH(ZonaTerritoriale,ElencoZone,0))=TRUE,0,INDEX(MatriceParametri,MATCH(ZonaTerritoriale,ElencoZone,0)+2,22))</f>
        <v>0</v>
      </c>
      <c r="I47" s="107"/>
      <c r="J47" s="125">
        <f>PRODUCT(H44,H47)</f>
        <v>0</v>
      </c>
      <c r="K47" s="116"/>
      <c r="L47" s="830">
        <f>ROUND(SUM(F47,J47),2)</f>
        <v>0</v>
      </c>
      <c r="M47" s="830"/>
      <c r="N47" s="105"/>
      <c r="O47" s="14"/>
    </row>
    <row r="48" spans="1:15" s="5" customFormat="1" ht="20.100000000000001" customHeight="1" x14ac:dyDescent="0.2">
      <c r="A48"/>
      <c r="B48" s="834" t="str">
        <f>Parametri_DestUsoPersonalizzazione11</f>
        <v>Destinazione ulteriore 3</v>
      </c>
      <c r="C48" s="835"/>
      <c r="D48" s="798">
        <f>Ou_Cost_Personalizzazione3_NuovaEdif</f>
        <v>0</v>
      </c>
      <c r="E48" s="798"/>
      <c r="F48" s="798"/>
      <c r="G48" s="236"/>
      <c r="H48" s="798">
        <f>Ou_Rist_Personalizzazione3</f>
        <v>0</v>
      </c>
      <c r="I48" s="798"/>
      <c r="J48" s="798"/>
      <c r="K48" s="237"/>
      <c r="L48" s="236"/>
      <c r="M48" s="236"/>
      <c r="N48" s="44"/>
      <c r="O48"/>
    </row>
    <row r="49" spans="1:15" s="5" customFormat="1" ht="12.75" customHeight="1" x14ac:dyDescent="0.2">
      <c r="A49" s="14"/>
      <c r="B49" s="800" t="s">
        <v>81</v>
      </c>
      <c r="C49" s="801"/>
      <c r="D49" s="137">
        <f>IF(Ou_PrimariaDefiniti="Sì",IF(ISERROR(MATCH(ZonaTerritoriale,ElencoZone,0))=TRUE,0,INDEX(MatriceParametri,MATCH(ZonaTerritoriale,ElencoZone,0),23)),0)</f>
        <v>0</v>
      </c>
      <c r="E49" s="107"/>
      <c r="F49" s="125">
        <f>PRODUCT(D48,D49)</f>
        <v>0</v>
      </c>
      <c r="G49" s="127"/>
      <c r="H49" s="140">
        <f>IF(Ou_PrimariaDefiniti="Sì",IF(ISERROR(MATCH(ZonaTerritoriale,ElencoZone,0))=TRUE,0,INDEX(MatriceParametri,MATCH(ZonaTerritoriale,ElencoZone,0),24)),0)</f>
        <v>0</v>
      </c>
      <c r="I49" s="107"/>
      <c r="J49" s="125">
        <f>PRODUCT(H48,H49)</f>
        <v>0</v>
      </c>
      <c r="K49" s="239"/>
      <c r="L49" s="830">
        <f>ROUND(SUM(F49,J49),2)</f>
        <v>0</v>
      </c>
      <c r="M49" s="830"/>
      <c r="N49" s="105"/>
      <c r="O49"/>
    </row>
    <row r="50" spans="1:15" s="5" customFormat="1" ht="12.75" customHeight="1" x14ac:dyDescent="0.2">
      <c r="A50" s="14"/>
      <c r="B50" s="796" t="s">
        <v>82</v>
      </c>
      <c r="C50" s="797"/>
      <c r="D50" s="138">
        <f>IF(Ou_SecDefiniti="Sì",IF(ISERROR(MATCH(ZonaTerritoriale,ElencoZone,0))=TRUE,0,INDEX(MatriceParametri,MATCH(ZonaTerritoriale,ElencoZone,0)+1,23)),0)</f>
        <v>0</v>
      </c>
      <c r="E50" s="107"/>
      <c r="F50" s="125">
        <f>PRODUCT(D48,D50)</f>
        <v>0</v>
      </c>
      <c r="G50" s="18"/>
      <c r="H50" s="140">
        <f>IF(Ou_SecDefiniti="Sì",IF(ISERROR(MATCH(ZonaTerritoriale,ElencoZone,0))=TRUE,0,INDEX(MatriceParametri,MATCH(ZonaTerritoriale,ElencoZone,0)+1,24)),0)</f>
        <v>0</v>
      </c>
      <c r="I50" s="107"/>
      <c r="J50" s="125">
        <f>PRODUCT(H48,H50)</f>
        <v>0</v>
      </c>
      <c r="K50" s="116"/>
      <c r="L50" s="830">
        <f>ROUND(SUM(F50,J50),2)</f>
        <v>0</v>
      </c>
      <c r="M50" s="830"/>
      <c r="N50" s="105"/>
      <c r="O50"/>
    </row>
    <row r="51" spans="1:15" s="9" customFormat="1" ht="12.75" customHeight="1" x14ac:dyDescent="0.2">
      <c r="A51" s="14"/>
      <c r="B51" s="796" t="s">
        <v>83</v>
      </c>
      <c r="C51" s="797"/>
      <c r="D51" s="140">
        <f>IF(ISERROR(MATCH(ZonaTerritoriale,ElencoZone,0))=TRUE,0,INDEX(MatriceParametri,MATCH(ZonaTerritoriale,ElencoZone,0)+2,23))</f>
        <v>0</v>
      </c>
      <c r="E51" s="107"/>
      <c r="F51" s="125">
        <f>PRODUCT(D48,D51)</f>
        <v>0</v>
      </c>
      <c r="G51" s="18"/>
      <c r="H51" s="140">
        <f>IF(ISERROR(MATCH(ZonaTerritoriale,ElencoZone,0))=TRUE,0,INDEX(MatriceParametri,MATCH(ZonaTerritoriale,ElencoZone,0)+2,24))</f>
        <v>0</v>
      </c>
      <c r="I51" s="107"/>
      <c r="J51" s="125">
        <f>PRODUCT(H48,H51)</f>
        <v>0</v>
      </c>
      <c r="K51" s="116"/>
      <c r="L51" s="830">
        <f>ROUND(SUM(F51,J51),2)</f>
        <v>0</v>
      </c>
      <c r="M51" s="830"/>
      <c r="N51" s="105"/>
      <c r="O51" s="14"/>
    </row>
    <row r="52" spans="1:15" s="5" customFormat="1" ht="20.100000000000001" customHeight="1" x14ac:dyDescent="0.2">
      <c r="A52"/>
      <c r="B52" s="834" t="str">
        <f>Parametri_DestUsoPersonalizzazione12</f>
        <v>Destinazione ulteriore 4</v>
      </c>
      <c r="C52" s="835"/>
      <c r="D52" s="798">
        <f>Ou_Cost_Personalizzazione4_NuovaEdif</f>
        <v>0</v>
      </c>
      <c r="E52" s="798"/>
      <c r="F52" s="798"/>
      <c r="G52" s="236"/>
      <c r="H52" s="798">
        <f>Ou_Rist_Personalizzazione3</f>
        <v>0</v>
      </c>
      <c r="I52" s="798"/>
      <c r="J52" s="798"/>
      <c r="K52" s="237"/>
      <c r="L52" s="236"/>
      <c r="M52" s="236"/>
      <c r="N52" s="44"/>
      <c r="O52"/>
    </row>
    <row r="53" spans="1:15" s="5" customFormat="1" ht="12.75" customHeight="1" x14ac:dyDescent="0.2">
      <c r="A53" s="14"/>
      <c r="B53" s="800" t="s">
        <v>81</v>
      </c>
      <c r="C53" s="801"/>
      <c r="D53" s="137">
        <f>IF(Ou_PrimariaDefiniti="Sì",IF(ISERROR(MATCH(ZonaTerritoriale,ElencoZone,0))=TRUE,0,INDEX(MatriceParametri,MATCH(ZonaTerritoriale,ElencoZone,0),25)),0)</f>
        <v>0</v>
      </c>
      <c r="E53" s="107"/>
      <c r="F53" s="125">
        <f>PRODUCT(D52,D53)</f>
        <v>0</v>
      </c>
      <c r="G53" s="127"/>
      <c r="H53" s="140">
        <f>IF(Ou_PrimariaDefiniti="Sì",IF(ISERROR(MATCH(ZonaTerritoriale,ElencoZone,0))=TRUE,0,INDEX(MatriceParametri,MATCH(ZonaTerritoriale,ElencoZone,0),26)),0)</f>
        <v>0</v>
      </c>
      <c r="I53" s="107"/>
      <c r="J53" s="125">
        <f>PRODUCT(H52,H53)</f>
        <v>0</v>
      </c>
      <c r="K53" s="239"/>
      <c r="L53" s="830">
        <f>ROUND(SUM(F53,J53),2)</f>
        <v>0</v>
      </c>
      <c r="M53" s="830"/>
      <c r="N53" s="105"/>
      <c r="O53"/>
    </row>
    <row r="54" spans="1:15" s="5" customFormat="1" ht="12.75" customHeight="1" x14ac:dyDescent="0.2">
      <c r="A54" s="14"/>
      <c r="B54" s="796" t="s">
        <v>82</v>
      </c>
      <c r="C54" s="797"/>
      <c r="D54" s="138">
        <f>IF(Ou_SecDefiniti="Sì",IF(ISERROR(MATCH(ZonaTerritoriale,ElencoZone,0))=TRUE,0,INDEX(MatriceParametri,MATCH(ZonaTerritoriale,ElencoZone,0)+1,25)),0)</f>
        <v>0</v>
      </c>
      <c r="E54" s="107"/>
      <c r="F54" s="125">
        <f>PRODUCT(D52,D54)</f>
        <v>0</v>
      </c>
      <c r="G54" s="18"/>
      <c r="H54" s="140">
        <f>IF(Ou_SecDefiniti="Sì",IF(ISERROR(MATCH(ZonaTerritoriale,ElencoZone,0))=TRUE,0,INDEX(MatriceParametri,MATCH(ZonaTerritoriale,ElencoZone,0)+1,26)),0)</f>
        <v>0</v>
      </c>
      <c r="I54" s="107"/>
      <c r="J54" s="125">
        <f>PRODUCT(H52,H54)</f>
        <v>0</v>
      </c>
      <c r="K54" s="116"/>
      <c r="L54" s="830">
        <f>ROUND(SUM(F54,J54),2)</f>
        <v>0</v>
      </c>
      <c r="M54" s="830"/>
      <c r="N54" s="105"/>
      <c r="O54"/>
    </row>
    <row r="55" spans="1:15" s="9" customFormat="1" ht="12.75" customHeight="1" x14ac:dyDescent="0.2">
      <c r="A55" s="14"/>
      <c r="B55" s="796" t="s">
        <v>83</v>
      </c>
      <c r="C55" s="797"/>
      <c r="D55" s="140">
        <f>IF(ISERROR(MATCH(ZonaTerritoriale,ElencoZone,0))=TRUE,0,INDEX(MatriceParametri,MATCH(ZonaTerritoriale,ElencoZone,0)+2,25))</f>
        <v>0</v>
      </c>
      <c r="E55" s="107"/>
      <c r="F55" s="125">
        <f>PRODUCT(D52,D55)</f>
        <v>0</v>
      </c>
      <c r="G55" s="18"/>
      <c r="H55" s="140">
        <f>IF(ISERROR(MATCH(ZonaTerritoriale,ElencoZone,0))=TRUE,0,INDEX(MatriceParametri,MATCH(ZonaTerritoriale,ElencoZone,0)+2,26))</f>
        <v>0</v>
      </c>
      <c r="I55" s="107"/>
      <c r="J55" s="125">
        <f>PRODUCT(H52,H55)</f>
        <v>0</v>
      </c>
      <c r="K55" s="116"/>
      <c r="L55" s="830">
        <f>ROUND(SUM(F55,J55),2)</f>
        <v>0</v>
      </c>
      <c r="M55" s="830"/>
      <c r="N55" s="105"/>
      <c r="O55" s="14"/>
    </row>
    <row r="56" spans="1:15" s="5" customFormat="1" ht="20.100000000000001" customHeight="1" x14ac:dyDescent="0.2">
      <c r="A56"/>
      <c r="B56" s="834" t="str">
        <f>Parametri_DestUsoPersonalizzazione13</f>
        <v>Destinazione ulteriore 5</v>
      </c>
      <c r="C56" s="835"/>
      <c r="D56" s="798">
        <f>Ou_Cost_Personalizzazione5_NuovaEdif</f>
        <v>0</v>
      </c>
      <c r="E56" s="798"/>
      <c r="F56" s="798"/>
      <c r="G56" s="236"/>
      <c r="H56" s="798">
        <f>Ou_Rist_Personalizzazione3</f>
        <v>0</v>
      </c>
      <c r="I56" s="798"/>
      <c r="J56" s="798"/>
      <c r="K56" s="237"/>
      <c r="L56" s="236"/>
      <c r="M56" s="236"/>
      <c r="N56" s="44"/>
      <c r="O56"/>
    </row>
    <row r="57" spans="1:15" s="5" customFormat="1" ht="12.75" customHeight="1" x14ac:dyDescent="0.2">
      <c r="A57" s="14"/>
      <c r="B57" s="800" t="s">
        <v>81</v>
      </c>
      <c r="C57" s="801"/>
      <c r="D57" s="137">
        <f>IF(Ou_PrimariaDefiniti="Sì",IF(ISERROR(MATCH(ZonaTerritoriale,ElencoZone,0))=TRUE,0,INDEX(MatriceParametri,MATCH(ZonaTerritoriale,ElencoZone,0),27)),0)</f>
        <v>0</v>
      </c>
      <c r="E57" s="107"/>
      <c r="F57" s="125">
        <f>PRODUCT(D56,D57)</f>
        <v>0</v>
      </c>
      <c r="G57" s="127"/>
      <c r="H57" s="140">
        <f>IF(Ou_PrimariaDefiniti="Sì",IF(ISERROR(MATCH(ZonaTerritoriale,ElencoZone,0))=TRUE,0,INDEX(MatriceParametri,MATCH(ZonaTerritoriale,ElencoZone,0),28)),0)</f>
        <v>0</v>
      </c>
      <c r="I57" s="107"/>
      <c r="J57" s="125">
        <f>PRODUCT(H56,H57)</f>
        <v>0</v>
      </c>
      <c r="K57" s="239"/>
      <c r="L57" s="830">
        <f>ROUND(SUM(F57,J57),2)</f>
        <v>0</v>
      </c>
      <c r="M57" s="830"/>
      <c r="N57" s="105"/>
      <c r="O57"/>
    </row>
    <row r="58" spans="1:15" s="5" customFormat="1" ht="12.75" customHeight="1" x14ac:dyDescent="0.2">
      <c r="A58" s="14"/>
      <c r="B58" s="796" t="s">
        <v>82</v>
      </c>
      <c r="C58" s="797"/>
      <c r="D58" s="138">
        <f>IF(Ou_SecDefiniti="Sì",IF(ISERROR(MATCH(ZonaTerritoriale,ElencoZone,0))=TRUE,0,INDEX(MatriceParametri,MATCH(ZonaTerritoriale,ElencoZone,0)+1,27)),0)</f>
        <v>0</v>
      </c>
      <c r="E58" s="107"/>
      <c r="F58" s="125">
        <f>PRODUCT(D56,D58)</f>
        <v>0</v>
      </c>
      <c r="G58" s="18"/>
      <c r="H58" s="140">
        <f>IF(Ou_SecDefiniti="Sì",IF(ISERROR(MATCH(ZonaTerritoriale,ElencoZone,0))=TRUE,0,INDEX(MatriceParametri,MATCH(ZonaTerritoriale,ElencoZone,0)+1,28)),0)</f>
        <v>0</v>
      </c>
      <c r="I58" s="107"/>
      <c r="J58" s="125">
        <f>PRODUCT(H56,H58)</f>
        <v>0</v>
      </c>
      <c r="K58" s="116"/>
      <c r="L58" s="830">
        <f>ROUND(SUM(F58,J58),2)</f>
        <v>0</v>
      </c>
      <c r="M58" s="830"/>
      <c r="N58" s="105"/>
      <c r="O58"/>
    </row>
    <row r="59" spans="1:15" s="9" customFormat="1" ht="12.75" customHeight="1" x14ac:dyDescent="0.2">
      <c r="A59" s="14"/>
      <c r="B59" s="796" t="s">
        <v>83</v>
      </c>
      <c r="C59" s="797"/>
      <c r="D59" s="140">
        <f>IF(ISERROR(MATCH(ZonaTerritoriale,ElencoZone,0))=TRUE,0,INDEX(MatriceParametri,MATCH(ZonaTerritoriale,ElencoZone,0)+2,27))</f>
        <v>0</v>
      </c>
      <c r="E59" s="107"/>
      <c r="F59" s="125">
        <f>PRODUCT(D56,D59)</f>
        <v>0</v>
      </c>
      <c r="G59" s="18"/>
      <c r="H59" s="140">
        <f>IF(ISERROR(MATCH(ZonaTerritoriale,ElencoZone,0))=TRUE,0,INDEX(MatriceParametri,MATCH(ZonaTerritoriale,ElencoZone,0)+2,28))</f>
        <v>0</v>
      </c>
      <c r="I59" s="107"/>
      <c r="J59" s="125">
        <f>PRODUCT(H56,H59)</f>
        <v>0</v>
      </c>
      <c r="K59" s="116"/>
      <c r="L59" s="830">
        <f>ROUND(SUM(F59,J59),2)</f>
        <v>0</v>
      </c>
      <c r="M59" s="830"/>
      <c r="N59" s="105"/>
      <c r="O59" s="14"/>
    </row>
    <row r="60" spans="1:15" s="9" customFormat="1" ht="12.75" customHeight="1" x14ac:dyDescent="0.2">
      <c r="A60" s="14"/>
      <c r="B60" s="530"/>
      <c r="C60" s="109"/>
      <c r="D60" s="109"/>
      <c r="E60" s="109"/>
      <c r="F60" s="109"/>
      <c r="G60" s="109"/>
      <c r="H60" s="109"/>
      <c r="I60" s="109"/>
      <c r="J60" s="109"/>
      <c r="K60" s="109"/>
      <c r="L60" s="109"/>
      <c r="M60" s="109"/>
      <c r="N60" s="105"/>
      <c r="O60" s="14"/>
    </row>
    <row r="61" spans="1:15" s="5" customFormat="1" x14ac:dyDescent="0.2">
      <c r="A61" s="14"/>
      <c r="B61" s="782" t="s">
        <v>175</v>
      </c>
      <c r="C61" s="783"/>
      <c r="D61" s="783"/>
      <c r="E61" s="783"/>
      <c r="F61" s="783"/>
      <c r="G61" s="110"/>
      <c r="H61" s="110"/>
      <c r="I61" s="18"/>
      <c r="J61" s="111"/>
      <c r="K61" s="111"/>
      <c r="L61" s="18"/>
      <c r="M61" s="110"/>
      <c r="N61" s="105"/>
      <c r="O61"/>
    </row>
    <row r="62" spans="1:15" s="9" customFormat="1" ht="12.75" customHeight="1" x14ac:dyDescent="0.2">
      <c r="A62" s="14"/>
      <c r="B62" s="778" t="s">
        <v>273</v>
      </c>
      <c r="C62" s="785"/>
      <c r="D62" s="785"/>
      <c r="E62" s="785"/>
      <c r="F62" s="785"/>
      <c r="G62" s="785"/>
      <c r="H62" s="785"/>
      <c r="I62" s="785"/>
      <c r="J62" s="785"/>
      <c r="K62" s="779"/>
      <c r="L62" s="830">
        <f>ROUND(SUM(L5,L9,L13,L17,L21,L25,L29,L33,L37,L41,L45,L49,L53,L57),2)</f>
        <v>0</v>
      </c>
      <c r="M62" s="830"/>
      <c r="N62" s="112"/>
      <c r="O62" s="14"/>
    </row>
    <row r="63" spans="1:15" s="9" customFormat="1" ht="12.75" customHeight="1" x14ac:dyDescent="0.2">
      <c r="A63" s="14"/>
      <c r="B63" s="778" t="s">
        <v>176</v>
      </c>
      <c r="C63" s="785"/>
      <c r="D63" s="785"/>
      <c r="E63" s="785"/>
      <c r="F63" s="785"/>
      <c r="G63" s="785"/>
      <c r="H63" s="785"/>
      <c r="I63" s="785"/>
      <c r="J63" s="785"/>
      <c r="K63" s="779"/>
      <c r="L63" s="201" t="str">
        <f>IF(CC_AltriCosti_ValoreMaggOnPrimRecSott&gt;0,IF(Parametri_MaggiorazioneSottotetti&gt;0, TEXT(Parametri_MaggiorazioneSottotetti,"0%"),"Nessuna"),"")</f>
        <v/>
      </c>
      <c r="M63" s="64">
        <f>ImportoOneriUrbRecSottPrimaria*Parametri_MaggiorazioneSottotetti</f>
        <v>0</v>
      </c>
      <c r="N63" s="112"/>
      <c r="O63" s="14"/>
    </row>
    <row r="64" spans="1:15" s="9" customFormat="1" ht="12.75" customHeight="1" x14ac:dyDescent="0.2">
      <c r="A64" s="14"/>
      <c r="B64" s="776" t="s">
        <v>178</v>
      </c>
      <c r="C64" s="818"/>
      <c r="D64" s="818"/>
      <c r="E64" s="818"/>
      <c r="F64" s="818"/>
      <c r="G64" s="818"/>
      <c r="H64" s="818"/>
      <c r="I64" s="818"/>
      <c r="J64" s="818"/>
      <c r="K64" s="777"/>
      <c r="L64" s="201" t="str">
        <f>IF(OnPrim_RiduzionePianoCasa&gt;0,IF(Par_PianoCasa_Rid&gt;0, TEXT(Par_PianoCasa_Rid,"0%")&amp;" a dedurre","Nessuna"),"")</f>
        <v/>
      </c>
      <c r="M64" s="64">
        <f>IF(PianoCasa="Sì",((ImportoOneriUrb1+ImportoOneriUrb1_NuovaDest+CC_AltriCosti_ValoreMaggOnPrimRecSott)*Par_PianoCasa_RidCC),0)</f>
        <v>0</v>
      </c>
      <c r="N64" s="112"/>
      <c r="O64" s="14"/>
    </row>
    <row r="65" spans="1:15" s="9" customFormat="1" ht="12.75" customHeight="1" x14ac:dyDescent="0.2">
      <c r="A65" s="14"/>
      <c r="B65" s="776" t="s">
        <v>338</v>
      </c>
      <c r="C65" s="818"/>
      <c r="D65" s="818"/>
      <c r="E65" s="818"/>
      <c r="F65" s="818"/>
      <c r="G65" s="818"/>
      <c r="H65" s="818"/>
      <c r="I65" s="818"/>
      <c r="J65" s="818"/>
      <c r="K65" s="777"/>
      <c r="L65" s="514" t="str">
        <f>IF(OnPrim_RiduzioneSostituzione&gt;0,IF(Par_Sostituzione_Rid_Oneri&gt;0, TEXT(Par_Sostituzione_Rid_Oneri,"0%")&amp;" a dedurre","Nessuna"),"")</f>
        <v/>
      </c>
      <c r="M65" s="69">
        <f>IF(Sostituzione="Sì",((ImportoOneriUrb1+CC_AltriCosti_ValoreMaggOnPrimRecSott)*Par_Sostituzione_Rid_Oneri),0)</f>
        <v>0</v>
      </c>
      <c r="N65" s="112"/>
      <c r="O65" s="14"/>
    </row>
    <row r="66" spans="1:15" s="9" customFormat="1" ht="12.75" customHeight="1" x14ac:dyDescent="0.2">
      <c r="A66" s="14"/>
      <c r="B66" s="776" t="s">
        <v>351</v>
      </c>
      <c r="C66" s="818"/>
      <c r="D66" s="818"/>
      <c r="E66" s="818"/>
      <c r="F66" s="818"/>
      <c r="G66" s="818"/>
      <c r="H66" s="818"/>
      <c r="I66" s="818"/>
      <c r="J66" s="818"/>
      <c r="K66" s="777"/>
      <c r="L66" s="514" t="str">
        <f>IF(OnPrim_RiduzioneDensificazione&gt;0,IF(Par_Rid_Densificazione_Oneri&gt;0, TEXT(Par_Rid_Densificazione_Oneri,"0%")&amp;" a dedurre","Nessuna"),"")</f>
        <v/>
      </c>
      <c r="M66" s="69">
        <f>IF(Densificazione="Sì",((ImportoOneriUrb1+CC_AltriCosti_ValoreMaggOnPrimRecSott)*Par_Rid_Densificazione_Oneri),0)</f>
        <v>0</v>
      </c>
      <c r="N66" s="112"/>
      <c r="O66" s="14"/>
    </row>
    <row r="67" spans="1:15" s="9" customFormat="1" ht="12.75" customHeight="1" x14ac:dyDescent="0.2">
      <c r="A67" s="14"/>
      <c r="B67" s="776" t="s">
        <v>304</v>
      </c>
      <c r="C67" s="818"/>
      <c r="D67" s="818"/>
      <c r="E67" s="818"/>
      <c r="F67" s="818"/>
      <c r="G67" s="818"/>
      <c r="H67" s="818"/>
      <c r="I67" s="818"/>
      <c r="J67" s="818"/>
      <c r="K67" s="777"/>
      <c r="L67" s="514" t="str">
        <f>IF(DescInt_RisparmioPercent&gt;0,IF(DescInt_RisparmioPercent&gt;0, TEXT(DescInt_RisparmioPercent,"0%")&amp;" a dedurre","Nessuna"),"")</f>
        <v/>
      </c>
      <c r="M67" s="69">
        <f>OC_RispEnerResid_Hide</f>
        <v>0</v>
      </c>
      <c r="N67" s="112"/>
      <c r="O67" s="14"/>
    </row>
    <row r="68" spans="1:15" s="9" customFormat="1" ht="12.75" customHeight="1" x14ac:dyDescent="0.2">
      <c r="A68" s="14"/>
      <c r="B68" s="776" t="s">
        <v>177</v>
      </c>
      <c r="C68" s="818"/>
      <c r="D68" s="818"/>
      <c r="E68" s="818"/>
      <c r="F68" s="818"/>
      <c r="G68" s="818"/>
      <c r="H68" s="818"/>
      <c r="I68" s="818"/>
      <c r="J68" s="818"/>
      <c r="K68" s="777"/>
      <c r="L68" s="514" t="str">
        <f>IF(Oneri_Urb_Prim_Corrisposti&gt;0," a dedurre","")</f>
        <v/>
      </c>
      <c r="M68" s="69">
        <f>Oneri_Urb_Prim_Corrisposti</f>
        <v>0</v>
      </c>
      <c r="N68" s="112"/>
      <c r="O68" s="14"/>
    </row>
    <row r="69" spans="1:15" s="9" customFormat="1" ht="12.75" customHeight="1" x14ac:dyDescent="0.2">
      <c r="A69" s="14"/>
      <c r="B69" s="778" t="s">
        <v>381</v>
      </c>
      <c r="C69" s="785"/>
      <c r="D69" s="785"/>
      <c r="E69" s="785"/>
      <c r="F69" s="785"/>
      <c r="G69" s="785"/>
      <c r="H69" s="785"/>
      <c r="I69" s="785"/>
      <c r="J69" s="785"/>
      <c r="K69" s="779"/>
      <c r="L69" s="514"/>
      <c r="M69" s="64">
        <f>OpereUrbPrimRealizzate</f>
        <v>0</v>
      </c>
      <c r="N69" s="112"/>
      <c r="O69" s="14"/>
    </row>
    <row r="70" spans="1:15" s="9" customFormat="1" ht="12.75" customHeight="1" x14ac:dyDescent="0.2">
      <c r="A70" s="14"/>
      <c r="B70" s="780" t="s">
        <v>105</v>
      </c>
      <c r="C70" s="840"/>
      <c r="D70" s="840"/>
      <c r="E70" s="840"/>
      <c r="F70" s="840"/>
      <c r="G70" s="840"/>
      <c r="H70" s="840"/>
      <c r="I70" s="840"/>
      <c r="J70" s="840"/>
      <c r="K70" s="781"/>
      <c r="L70" s="832">
        <f>IF(ImportoOneriUrb1+CC_AltriCosti_ValoreMaggOnPrimRecSott-OnPrim_RiduzionePianoCasa-OnPrim_RiduzioneSostituzione-OnPrim_RiduzioneDensificazione-OnPrim_RiduzioneRispEnerg-CC_Oneri_Urb_Prim_Corrisposti-CC_OpereUrbPrimRealizzate&gt;0,ImportoOneriUrb1+CC_AltriCosti_ValoreMaggOnPrimRecSott-OnPrim_RiduzionePianoCasa-OnPrim_RiduzioneDensificazione-OnPrim_RiduzioneRispEnerg-CC_Oneri_Urb_Prim_Corrisposti-CC_OpereUrbPrimRealizzate,0)</f>
        <v>0</v>
      </c>
      <c r="M70" s="833"/>
      <c r="N70" s="112"/>
      <c r="O70" s="14"/>
    </row>
    <row r="71" spans="1:15" s="9" customFormat="1" ht="12.75" customHeight="1" x14ac:dyDescent="0.2">
      <c r="A71" s="14"/>
      <c r="B71" s="782" t="s">
        <v>183</v>
      </c>
      <c r="C71" s="783"/>
      <c r="D71" s="783"/>
      <c r="E71" s="783"/>
      <c r="F71" s="783"/>
      <c r="G71" s="443"/>
      <c r="H71" s="443"/>
      <c r="I71" s="443"/>
      <c r="J71" s="443"/>
      <c r="K71" s="443"/>
      <c r="L71" s="446"/>
      <c r="M71" s="445"/>
      <c r="N71" s="112"/>
      <c r="O71" s="14"/>
    </row>
    <row r="72" spans="1:15" s="9" customFormat="1" ht="12.75" customHeight="1" x14ac:dyDescent="0.2">
      <c r="A72" s="14"/>
      <c r="B72" s="778" t="s">
        <v>273</v>
      </c>
      <c r="C72" s="785"/>
      <c r="D72" s="785"/>
      <c r="E72" s="785"/>
      <c r="F72" s="785"/>
      <c r="G72" s="785"/>
      <c r="H72" s="785"/>
      <c r="I72" s="785"/>
      <c r="J72" s="785"/>
      <c r="K72" s="779"/>
      <c r="L72" s="830">
        <f>ROUND(SUM(L6,L10,L14,L18,L22,L26,L30,L34,L38,L42,L46,L50,L54,L58),2)</f>
        <v>0</v>
      </c>
      <c r="M72" s="830"/>
      <c r="N72" s="112"/>
      <c r="O72" s="14"/>
    </row>
    <row r="73" spans="1:15" s="9" customFormat="1" ht="12.75" customHeight="1" x14ac:dyDescent="0.2">
      <c r="A73" s="14"/>
      <c r="B73" s="776" t="s">
        <v>274</v>
      </c>
      <c r="C73" s="818"/>
      <c r="D73" s="818"/>
      <c r="E73" s="818"/>
      <c r="F73" s="818"/>
      <c r="G73" s="818"/>
      <c r="H73" s="818"/>
      <c r="I73" s="818"/>
      <c r="J73" s="818"/>
      <c r="K73" s="777"/>
      <c r="L73" s="201" t="str">
        <f>IF(CC_AltriCosti_ValoreMaggOnRecSott&gt;0,IF(Parametri_MaggiorazioneSottotetti&gt;0, TEXT(Parametri_MaggiorazioneSottotetti,"0%"),"Nessuna"),"")</f>
        <v/>
      </c>
      <c r="M73" s="64">
        <f>ImportoOneriUrbRecSottSecondaria*Parametri_MaggiorazioneSottotetti</f>
        <v>0</v>
      </c>
      <c r="N73" s="112"/>
      <c r="O73" s="14"/>
    </row>
    <row r="74" spans="1:15" s="9" customFormat="1" ht="12.75" customHeight="1" x14ac:dyDescent="0.2">
      <c r="A74" s="14"/>
      <c r="B74" s="776" t="s">
        <v>178</v>
      </c>
      <c r="C74" s="818"/>
      <c r="D74" s="818"/>
      <c r="E74" s="818"/>
      <c r="F74" s="818"/>
      <c r="G74" s="818"/>
      <c r="H74" s="818"/>
      <c r="I74" s="818"/>
      <c r="J74" s="818"/>
      <c r="K74" s="777"/>
      <c r="L74" s="201" t="str">
        <f>IF(OnSec_RiduzionePianoCasa&gt;0,IF(Par_PianoCasa_Rid&gt;0, TEXT(Par_PianoCasa_Rid,"0%")&amp;" a dedurre","Nessuna"),"")</f>
        <v/>
      </c>
      <c r="M74" s="64">
        <f>IF(PianoCasa="Sì",((ImportoOneriUrb2+ImportoOneriUrb2_NuovaDest+CC_AltriCosti_ValoreMaggOnRecSott)*Par_PianoCasa_RidCC),0)</f>
        <v>0</v>
      </c>
      <c r="N74" s="112"/>
      <c r="O74" s="14"/>
    </row>
    <row r="75" spans="1:15" s="9" customFormat="1" ht="12.75" customHeight="1" x14ac:dyDescent="0.2">
      <c r="A75" s="14"/>
      <c r="B75" s="776" t="s">
        <v>338</v>
      </c>
      <c r="C75" s="818"/>
      <c r="D75" s="818"/>
      <c r="E75" s="818"/>
      <c r="F75" s="818"/>
      <c r="G75" s="818"/>
      <c r="H75" s="818"/>
      <c r="I75" s="818"/>
      <c r="J75" s="818"/>
      <c r="K75" s="777"/>
      <c r="L75" s="201" t="str">
        <f>IF(OnSec_RiduzioneSostituzione&gt;0,IF(Par_Sostituzione_Rid_Oneri&gt;0, TEXT(Par_Sostituzione_Rid_Oneri,"0%")&amp;" a dedurre","Nessuna"),"")</f>
        <v/>
      </c>
      <c r="M75" s="64">
        <f>IF(Sostituzione="Sì",((ImportoOneriUrb2+CC_AltriCosti_ValoreMaggOnRecSott)*Par_Sostituzione_Rid_Oneri),0)</f>
        <v>0</v>
      </c>
      <c r="N75" s="112"/>
      <c r="O75" s="14"/>
    </row>
    <row r="76" spans="1:15" s="9" customFormat="1" ht="12.75" customHeight="1" x14ac:dyDescent="0.2">
      <c r="A76" s="14"/>
      <c r="B76" s="776" t="s">
        <v>351</v>
      </c>
      <c r="C76" s="818"/>
      <c r="D76" s="818"/>
      <c r="E76" s="818"/>
      <c r="F76" s="818"/>
      <c r="G76" s="818"/>
      <c r="H76" s="818"/>
      <c r="I76" s="818"/>
      <c r="J76" s="818"/>
      <c r="K76" s="777"/>
      <c r="L76" s="514" t="str">
        <f>IF(OnPrim_RiduzioneDensificazione&gt;0,IF(Par_Rid_Densificazione_Oneri&gt;0, TEXT(Par_Rid_Densificazione_Oneri,"0%")&amp;" a dedurre","Nessuna"),"")</f>
        <v/>
      </c>
      <c r="M76" s="64">
        <f>IF(Densificazione="Sì",((ImportoOneriUrb2+CC_AltriCosti_ValoreMaggOnRecSott)*Par_Rid_Densificazione_Oneri),0)</f>
        <v>0</v>
      </c>
      <c r="N76" s="112"/>
      <c r="O76" s="14"/>
    </row>
    <row r="77" spans="1:15" s="9" customFormat="1" ht="12.75" customHeight="1" x14ac:dyDescent="0.2">
      <c r="A77" s="14"/>
      <c r="B77" s="776" t="s">
        <v>304</v>
      </c>
      <c r="C77" s="818"/>
      <c r="D77" s="818"/>
      <c r="E77" s="818"/>
      <c r="F77" s="818"/>
      <c r="G77" s="818"/>
      <c r="H77" s="818"/>
      <c r="I77" s="818"/>
      <c r="J77" s="818"/>
      <c r="K77" s="777"/>
      <c r="L77" s="201" t="str">
        <f>IF(DescInt_RisparmioPercent&gt;0,IF(DescInt_RisparmioPercent&gt;0, TEXT(DescInt_RisparmioPercent,"0%")&amp;" a dedurre","Nessuna"),"")</f>
        <v/>
      </c>
      <c r="M77" s="64">
        <f>OC_RispEnerSecResid_Hide</f>
        <v>0</v>
      </c>
      <c r="N77" s="112"/>
      <c r="O77" s="14"/>
    </row>
    <row r="78" spans="1:15" s="9" customFormat="1" ht="12.75" customHeight="1" x14ac:dyDescent="0.2">
      <c r="A78" s="14"/>
      <c r="B78" s="776" t="s">
        <v>177</v>
      </c>
      <c r="C78" s="818"/>
      <c r="D78" s="818"/>
      <c r="E78" s="818"/>
      <c r="F78" s="818"/>
      <c r="G78" s="818"/>
      <c r="H78" s="818"/>
      <c r="I78" s="818"/>
      <c r="J78" s="818"/>
      <c r="K78" s="777"/>
      <c r="L78" s="201" t="str">
        <f>IF(Oneri_Urb_Sec_Corrisposti&gt;0," a dedurre","")</f>
        <v/>
      </c>
      <c r="M78" s="64">
        <f>Oneri_Urb_Sec_Corrisposti</f>
        <v>0</v>
      </c>
      <c r="N78" s="112"/>
      <c r="O78" s="14"/>
    </row>
    <row r="79" spans="1:15" s="9" customFormat="1" ht="12.75" customHeight="1" x14ac:dyDescent="0.2">
      <c r="A79" s="14"/>
      <c r="B79" s="778" t="s">
        <v>382</v>
      </c>
      <c r="C79" s="785"/>
      <c r="D79" s="785"/>
      <c r="E79" s="785"/>
      <c r="F79" s="785"/>
      <c r="G79" s="785"/>
      <c r="H79" s="785"/>
      <c r="I79" s="785"/>
      <c r="J79" s="785"/>
      <c r="K79" s="779"/>
      <c r="L79" s="201"/>
      <c r="M79" s="64">
        <f>OpereUrbSecRealizzate</f>
        <v>0</v>
      </c>
      <c r="N79" s="112"/>
      <c r="O79" s="14"/>
    </row>
    <row r="80" spans="1:15" s="9" customFormat="1" ht="12.75" customHeight="1" x14ac:dyDescent="0.2">
      <c r="A80" s="14"/>
      <c r="B80" s="780" t="s">
        <v>105</v>
      </c>
      <c r="C80" s="840"/>
      <c r="D80" s="840"/>
      <c r="E80" s="840"/>
      <c r="F80" s="840"/>
      <c r="G80" s="840"/>
      <c r="H80" s="840"/>
      <c r="I80" s="840"/>
      <c r="J80" s="840"/>
      <c r="K80" s="781"/>
      <c r="L80" s="832">
        <f>IF(ImportoOneriUrb2+CC_AltriCosti_ValoreMaggOnRecSott-OnSec_RiduzionePianoCasa-OnSec_RiduzioneSostituzione-OnSec_RiduzioneDensificazione-OnSec_RiduzioneRispEnerg-CC_Oneri_Urb_Sec_Corrisposti-CC_OpereUrbSecRealizzate&gt;0,ImportoOneriUrb2+CC_AltriCosti_ValoreMaggOnRecSott-OnSec_RiduzionePianoCasa-OnSec_RiduzioneSostituzione-OnSec_RiduzioneDensificazione-OnSec_RiduzioneRispEnerg-CC_Oneri_Urb_Sec_Corrisposti-CC_OpereUrbSecRealizzate,0)</f>
        <v>0</v>
      </c>
      <c r="M80" s="833"/>
      <c r="N80" s="112"/>
      <c r="O80" s="14"/>
    </row>
    <row r="81" spans="1:15" s="9" customFormat="1" ht="12.75" customHeight="1" x14ac:dyDescent="0.2">
      <c r="A81" s="14"/>
      <c r="B81" s="782" t="s">
        <v>84</v>
      </c>
      <c r="C81" s="783"/>
      <c r="D81" s="783"/>
      <c r="E81" s="783"/>
      <c r="F81" s="783"/>
      <c r="G81" s="783"/>
      <c r="H81" s="783"/>
      <c r="I81" s="783"/>
      <c r="J81" s="783"/>
      <c r="K81" s="783"/>
      <c r="L81" s="651"/>
      <c r="M81" s="651"/>
      <c r="N81" s="112"/>
      <c r="O81" s="14"/>
    </row>
    <row r="82" spans="1:15" s="9" customFormat="1" ht="12.75" customHeight="1" x14ac:dyDescent="0.2">
      <c r="A82" s="14"/>
      <c r="B82" s="778" t="s">
        <v>273</v>
      </c>
      <c r="C82" s="785"/>
      <c r="D82" s="785"/>
      <c r="E82" s="785"/>
      <c r="F82" s="785"/>
      <c r="G82" s="785"/>
      <c r="H82" s="785"/>
      <c r="I82" s="785"/>
      <c r="J82" s="785"/>
      <c r="K82" s="779"/>
      <c r="L82" s="169"/>
      <c r="M82" s="64">
        <f>ROUND(SUM(L7,L11,L15,L19,L23,L27,L31,L35,L39,L43,L47,L51,L55,L59),2)</f>
        <v>0</v>
      </c>
      <c r="N82" s="112"/>
      <c r="O82" s="14"/>
    </row>
    <row r="83" spans="1:15" s="9" customFormat="1" ht="12.75" customHeight="1" x14ac:dyDescent="0.2">
      <c r="A83" s="14"/>
      <c r="B83" s="776" t="s">
        <v>177</v>
      </c>
      <c r="C83" s="818"/>
      <c r="D83" s="818"/>
      <c r="E83" s="818"/>
      <c r="F83" s="818"/>
      <c r="G83" s="818"/>
      <c r="H83" s="818"/>
      <c r="I83" s="818"/>
      <c r="J83" s="818"/>
      <c r="K83" s="777"/>
      <c r="L83" s="169"/>
      <c r="M83" s="64">
        <f>SmaltimRif_Corrisposti</f>
        <v>0</v>
      </c>
      <c r="N83" s="112"/>
      <c r="O83" s="14"/>
    </row>
    <row r="84" spans="1:15" s="9" customFormat="1" ht="12.75" customHeight="1" x14ac:dyDescent="0.2">
      <c r="A84" s="14"/>
      <c r="B84" s="780" t="s">
        <v>105</v>
      </c>
      <c r="C84" s="840"/>
      <c r="D84" s="840"/>
      <c r="E84" s="840"/>
      <c r="F84" s="840"/>
      <c r="G84" s="840"/>
      <c r="H84" s="840"/>
      <c r="I84" s="840"/>
      <c r="J84" s="840"/>
      <c r="K84" s="781"/>
      <c r="L84" s="832">
        <f>ROUND(ImportoOneriSmaltimentoRif-CC_SmaltimRif_Corrisposti,2)</f>
        <v>0</v>
      </c>
      <c r="M84" s="833"/>
      <c r="N84" s="112"/>
      <c r="O84" s="14"/>
    </row>
    <row r="85" spans="1:15" s="9" customFormat="1" ht="12.75" customHeight="1" x14ac:dyDescent="0.2">
      <c r="A85" s="14"/>
      <c r="B85" s="442"/>
      <c r="C85" s="443"/>
      <c r="D85" s="443"/>
      <c r="E85" s="443"/>
      <c r="F85" s="443"/>
      <c r="G85" s="443"/>
      <c r="H85" s="443"/>
      <c r="I85" s="443"/>
      <c r="J85" s="443"/>
      <c r="K85" s="443"/>
      <c r="L85" s="447"/>
      <c r="M85" s="447"/>
      <c r="N85" s="112"/>
      <c r="O85" s="14"/>
    </row>
    <row r="86" spans="1:15" s="9" customFormat="1" ht="15" customHeight="1" x14ac:dyDescent="0.2">
      <c r="A86" s="14"/>
      <c r="B86" s="837" t="s">
        <v>266</v>
      </c>
      <c r="C86" s="838"/>
      <c r="D86" s="838"/>
      <c r="E86" s="838"/>
      <c r="F86" s="838"/>
      <c r="G86" s="838"/>
      <c r="H86" s="838"/>
      <c r="I86" s="838"/>
      <c r="J86" s="838"/>
      <c r="K86" s="839"/>
      <c r="L86" s="831">
        <f>ROUND(Cc_OneriUrbPrimariaRif+Cc_OneriUrbSecondariaRif+Cc_OneriSmaltRifiutiRif,2)</f>
        <v>0</v>
      </c>
      <c r="M86" s="831"/>
      <c r="N86" s="112"/>
      <c r="O86" s="14"/>
    </row>
    <row r="87" spans="1:15" s="5" customFormat="1" ht="12.75" customHeight="1" x14ac:dyDescent="0.2">
      <c r="A87" s="14"/>
      <c r="B87" s="106"/>
      <c r="C87" s="19"/>
      <c r="D87" s="20"/>
      <c r="E87" s="21"/>
      <c r="F87" s="20"/>
      <c r="G87" s="18"/>
      <c r="H87" s="18"/>
      <c r="I87" s="18"/>
      <c r="J87" s="18"/>
      <c r="K87" s="18"/>
      <c r="L87" s="18"/>
      <c r="M87" s="150"/>
      <c r="N87" s="105"/>
      <c r="O87"/>
    </row>
    <row r="88" spans="1:15" s="7" customFormat="1" ht="15" customHeight="1" x14ac:dyDescent="0.25">
      <c r="A88" s="25"/>
      <c r="B88" s="852" t="s">
        <v>205</v>
      </c>
      <c r="C88" s="853"/>
      <c r="D88" s="853"/>
      <c r="E88" s="853"/>
      <c r="F88" s="853"/>
      <c r="G88" s="853"/>
      <c r="H88" s="853"/>
      <c r="I88" s="853"/>
      <c r="J88" s="853"/>
      <c r="K88" s="853"/>
      <c r="L88" s="853"/>
      <c r="M88" s="853"/>
      <c r="N88" s="854"/>
      <c r="O88" s="12"/>
    </row>
    <row r="89" spans="1:15" s="8" customFormat="1" ht="15" customHeight="1" x14ac:dyDescent="0.25">
      <c r="A89" s="22"/>
      <c r="B89" s="100"/>
      <c r="C89" s="101"/>
      <c r="D89" s="806" t="s">
        <v>159</v>
      </c>
      <c r="E89" s="806"/>
      <c r="F89" s="806"/>
      <c r="G89" s="13"/>
      <c r="H89" s="806" t="s">
        <v>160</v>
      </c>
      <c r="I89" s="806"/>
      <c r="J89" s="806"/>
      <c r="K89" s="102"/>
      <c r="L89" s="22"/>
      <c r="M89" s="103"/>
      <c r="N89" s="104"/>
      <c r="O89" s="13"/>
    </row>
    <row r="90" spans="1:15" s="5" customFormat="1" ht="20.100000000000001" customHeight="1" x14ac:dyDescent="0.2">
      <c r="A90"/>
      <c r="B90" s="834" t="str">
        <f>Parametri_DestUsoPersonalizzazione1 &amp; IF(EdiliziaConvenzionata="No",""," edilizia conv.")</f>
        <v>Residenziale</v>
      </c>
      <c r="C90" s="835"/>
      <c r="D90" s="850">
        <f>Ou_UsoIniziale_Res_ParVirt</f>
        <v>0</v>
      </c>
      <c r="E90" s="851"/>
      <c r="F90" s="851"/>
      <c r="G90" s="234"/>
      <c r="H90" s="850">
        <f>Ou_NuovaEd_Res_ParVirt</f>
        <v>0</v>
      </c>
      <c r="I90" s="850"/>
      <c r="J90" s="850"/>
      <c r="K90" s="235"/>
      <c r="L90" s="236"/>
      <c r="M90" s="236"/>
      <c r="N90" s="44"/>
      <c r="O90"/>
    </row>
    <row r="91" spans="1:15" s="9" customFormat="1" ht="12.75" customHeight="1" x14ac:dyDescent="0.2">
      <c r="A91" s="14"/>
      <c r="B91" s="800" t="s">
        <v>81</v>
      </c>
      <c r="C91" s="801"/>
      <c r="D91" s="137">
        <f>IF(Ou_PrimariaDefiniti="Sì",IF(ISERROR(MATCH(ZonaTerritoriale,ElencoZone,0))=TRUE,0,INDEX(MatriceParametri,MATCH(ZonaTerritoriale,ElencoZone,0),IF(DatiGen_ResidenzialeClasseA="No",1,3))),0)</f>
        <v>4.3600000000000003</v>
      </c>
      <c r="E91" s="107"/>
      <c r="F91" s="125">
        <f>PRODUCT(D90,D91)</f>
        <v>0</v>
      </c>
      <c r="G91" s="127"/>
      <c r="H91" s="137">
        <f>IF(Ou_PrimariaDefiniti="Sì",IF(ISERROR(MATCH(ZonaTerritoriale,ElencoZone,0))=TRUE,0,INDEX(MatriceParametri,MATCH(ZonaTerritoriale,ElencoZone,0),IF(DatiGen_ResidenzialeClasseA="No",1,3))),0)</f>
        <v>4.3600000000000003</v>
      </c>
      <c r="I91" s="107"/>
      <c r="J91" s="125">
        <f>PRODUCT(H90,H91)</f>
        <v>0</v>
      </c>
      <c r="K91" s="116"/>
      <c r="L91" s="18"/>
      <c r="M91" s="18"/>
      <c r="N91" s="105"/>
      <c r="O91" s="14"/>
    </row>
    <row r="92" spans="1:15" s="9" customFormat="1" ht="12.75" customHeight="1" x14ac:dyDescent="0.2">
      <c r="A92" s="14"/>
      <c r="B92" s="796" t="s">
        <v>82</v>
      </c>
      <c r="C92" s="797"/>
      <c r="D92" s="138">
        <f>IF(Ou_SecDefiniti="Sì",IF(ISERROR(MATCH(ZonaTerritoriale,ElencoZone,0))=TRUE,0,INDEX(MatriceParametri,MATCH(ZonaTerritoriale,ElencoZone,0)+1,IF(DatiGen_ResidenzialeClasseA="No",1,3))),0)</f>
        <v>9.66</v>
      </c>
      <c r="E92" s="107"/>
      <c r="F92" s="125">
        <f>PRODUCT(D90,D92)</f>
        <v>0</v>
      </c>
      <c r="G92" s="18"/>
      <c r="H92" s="138">
        <f>IF(Ou_SecDefiniti="Sì",IF(ISERROR(MATCH(ZonaTerritoriale,ElencoZone,0))=TRUE,0,INDEX(MatriceParametri,MATCH(ZonaTerritoriale,ElencoZone,0)+1,IF(DatiGen_ResidenzialeClasseA="No",1,3))),0)</f>
        <v>9.66</v>
      </c>
      <c r="I92" s="107"/>
      <c r="J92" s="125">
        <f>PRODUCT(H90,H92)</f>
        <v>0</v>
      </c>
      <c r="K92" s="116"/>
      <c r="L92" s="18"/>
      <c r="M92" s="18"/>
      <c r="N92" s="105"/>
      <c r="O92" s="14"/>
    </row>
    <row r="93" spans="1:15" s="9" customFormat="1" ht="12.75" customHeight="1" x14ac:dyDescent="0.2">
      <c r="A93" s="14"/>
      <c r="B93" s="796" t="s">
        <v>83</v>
      </c>
      <c r="C93" s="797"/>
      <c r="D93" s="139">
        <f>IF(ISERROR(MATCH(ZonaTerritoriale,ElencoZone,0))=TRUE,0,INDEX(MatriceParametri,MATCH(ZonaTerritoriale,ElencoZone,0)+2,IF(DatiGen_ResidenzialeClasseA="No",1,3)))</f>
        <v>0</v>
      </c>
      <c r="E93" s="107"/>
      <c r="F93" s="125">
        <f>PRODUCT(D90,D93)</f>
        <v>0</v>
      </c>
      <c r="G93" s="18"/>
      <c r="H93" s="139">
        <f>IF(ISERROR(MATCH(ZonaTerritoriale,ElencoZone,0))=TRUE,0,INDEX(MatriceParametri,MATCH(ZonaTerritoriale,ElencoZone,0)+2,IF(DatiGen_ResidenzialeClasseA="No",1,3)))</f>
        <v>0</v>
      </c>
      <c r="I93" s="107"/>
      <c r="J93" s="125">
        <f>PRODUCT(H90,H93)</f>
        <v>0</v>
      </c>
      <c r="K93" s="116"/>
      <c r="L93" s="18"/>
      <c r="M93" s="18"/>
      <c r="N93" s="105"/>
      <c r="O93" s="14"/>
    </row>
    <row r="94" spans="1:15" s="5" customFormat="1" ht="20.100000000000001" customHeight="1" x14ac:dyDescent="0.2">
      <c r="A94"/>
      <c r="B94" s="834" t="str">
        <f>Parametri_DestUsoPersonalizzazione2</f>
        <v>Commerciale direzionale</v>
      </c>
      <c r="C94" s="835"/>
      <c r="D94" s="798">
        <f>Ou_UsoIniziale_Com_ParVirt</f>
        <v>0</v>
      </c>
      <c r="E94" s="798"/>
      <c r="F94" s="798"/>
      <c r="G94" s="234"/>
      <c r="H94" s="798">
        <f>Ou_NuovaEd_Com_ParVirt</f>
        <v>0</v>
      </c>
      <c r="I94" s="798"/>
      <c r="J94" s="798"/>
      <c r="K94" s="237"/>
      <c r="L94" s="236"/>
      <c r="M94" s="236"/>
      <c r="N94" s="44"/>
      <c r="O94"/>
    </row>
    <row r="95" spans="1:15" s="9" customFormat="1" ht="12.75" customHeight="1" x14ac:dyDescent="0.2">
      <c r="A95" s="14"/>
      <c r="B95" s="800" t="s">
        <v>81</v>
      </c>
      <c r="C95" s="801"/>
      <c r="D95" s="140">
        <f>IF(Ou_PrimariaDefiniti="Sì",IF(ISERROR(MATCH(ZonaTerritoriale,ElencoZone,0))=TRUE,0,INDEX(MatriceParametri,MATCH(ZonaTerritoriale,ElencoZone,0),5)),0)</f>
        <v>68.75</v>
      </c>
      <c r="E95" s="107"/>
      <c r="F95" s="125">
        <f>PRODUCT(D94,D95)</f>
        <v>0</v>
      </c>
      <c r="G95" s="127"/>
      <c r="H95" s="140">
        <f>IF(Ou_PrimariaDefiniti="Sì",IF(ISERROR(MATCH(ZonaTerritoriale,ElencoZone,0))=TRUE,0,INDEX(MatriceParametri,MATCH(ZonaTerritoriale,ElencoZone,0),5)),0)</f>
        <v>68.75</v>
      </c>
      <c r="I95" s="107"/>
      <c r="J95" s="125">
        <f>PRODUCT(H94,H95)</f>
        <v>0</v>
      </c>
      <c r="K95" s="116"/>
      <c r="L95" s="18"/>
      <c r="M95" s="18"/>
      <c r="N95" s="105"/>
      <c r="O95" s="14"/>
    </row>
    <row r="96" spans="1:15" s="9" customFormat="1" ht="12.75" customHeight="1" x14ac:dyDescent="0.2">
      <c r="A96" s="14"/>
      <c r="B96" s="796" t="s">
        <v>82</v>
      </c>
      <c r="C96" s="797"/>
      <c r="D96" s="140">
        <f>IF(Ou_SecDefiniti="Sì",IF(ISERROR(MATCH(ZonaTerritoriale,ElencoZone,0))=TRUE,0,INDEX(MatriceParametri,MATCH(ZonaTerritoriale,ElencoZone,0)+1,5)),0)</f>
        <v>45.83</v>
      </c>
      <c r="E96" s="107"/>
      <c r="F96" s="125">
        <f>PRODUCT(D94,D96)</f>
        <v>0</v>
      </c>
      <c r="G96" s="18"/>
      <c r="H96" s="140">
        <f>IF(Ou_SecDefiniti="Sì",IF(ISERROR(MATCH(ZonaTerritoriale,ElencoZone,0))=TRUE,0,INDEX(MatriceParametri,MATCH(ZonaTerritoriale,ElencoZone,0)+1,5)),0)</f>
        <v>45.83</v>
      </c>
      <c r="I96" s="107"/>
      <c r="J96" s="125">
        <f>PRODUCT(H94,H96)</f>
        <v>0</v>
      </c>
      <c r="K96" s="116"/>
      <c r="L96" s="18"/>
      <c r="M96" s="18"/>
      <c r="N96" s="105"/>
      <c r="O96" s="14"/>
    </row>
    <row r="97" spans="1:15" s="9" customFormat="1" ht="12.75" customHeight="1" x14ac:dyDescent="0.2">
      <c r="A97" s="14"/>
      <c r="B97" s="796" t="s">
        <v>83</v>
      </c>
      <c r="C97" s="797"/>
      <c r="D97" s="140">
        <f>IF(ISERROR(MATCH(ZonaTerritoriale,ElencoZone,0))=TRUE,0,INDEX(MatriceParametri,MATCH(ZonaTerritoriale,ElencoZone,0)+2,5))</f>
        <v>0</v>
      </c>
      <c r="E97" s="107"/>
      <c r="F97" s="125">
        <f>PRODUCT(D94,D97)</f>
        <v>0</v>
      </c>
      <c r="G97" s="18"/>
      <c r="H97" s="140">
        <f>IF(ISERROR(MATCH(ZonaTerritoriale,ElencoZone,0))=TRUE,0,INDEX(MatriceParametri,MATCH(ZonaTerritoriale,ElencoZone,0)+2,5))</f>
        <v>0</v>
      </c>
      <c r="I97" s="107"/>
      <c r="J97" s="125">
        <f>PRODUCT(H94,H97)</f>
        <v>0</v>
      </c>
      <c r="K97" s="116"/>
      <c r="L97" s="18"/>
      <c r="M97" s="18"/>
      <c r="N97" s="105"/>
      <c r="O97" s="14"/>
    </row>
    <row r="98" spans="1:15" s="5" customFormat="1" ht="20.100000000000001" customHeight="1" x14ac:dyDescent="0.2">
      <c r="A98"/>
      <c r="B98" s="834" t="str">
        <f>Parametri_DestUsoPersonalizzazione3</f>
        <v>attività artigianale</v>
      </c>
      <c r="C98" s="835"/>
      <c r="D98" s="798">
        <f>Ou_UsoIniziale_IndArt_ParVirt</f>
        <v>0</v>
      </c>
      <c r="E98" s="798"/>
      <c r="F98" s="798"/>
      <c r="G98" s="234"/>
      <c r="H98" s="798">
        <f>Ou_NuovaEd_IndArt_ParVirt</f>
        <v>0</v>
      </c>
      <c r="I98" s="798"/>
      <c r="J98" s="798"/>
      <c r="K98" s="237"/>
      <c r="L98" s="236"/>
      <c r="M98" s="236"/>
      <c r="N98" s="44"/>
      <c r="O98"/>
    </row>
    <row r="99" spans="1:15" s="9" customFormat="1" ht="12.75" customHeight="1" x14ac:dyDescent="0.2">
      <c r="A99" s="14"/>
      <c r="B99" s="800" t="s">
        <v>81</v>
      </c>
      <c r="C99" s="801"/>
      <c r="D99" s="140">
        <f>IF(Ou_PrimariaDefiniti="Sì",IF(ISERROR(MATCH(ZonaTerritoriale,ElencoZone,0))=TRUE,0,INDEX(MatriceParametri,MATCH(ZonaTerritoriale,ElencoZone,0),7)),0)</f>
        <v>16.809999999999999</v>
      </c>
      <c r="E99" s="107"/>
      <c r="F99" s="125">
        <f>PRODUCT(D98,D99)</f>
        <v>0</v>
      </c>
      <c r="G99" s="127"/>
      <c r="H99" s="140">
        <f>IF(Ou_PrimariaDefiniti="Sì",IF(ISERROR(MATCH(ZonaTerritoriale,ElencoZone,0))=TRUE,0,INDEX(MatriceParametri,MATCH(ZonaTerritoriale,ElencoZone,0),7)),0)</f>
        <v>16.809999999999999</v>
      </c>
      <c r="I99" s="107"/>
      <c r="J99" s="125">
        <f>PRODUCT(H98,H99)</f>
        <v>0</v>
      </c>
      <c r="K99" s="116"/>
      <c r="L99" s="18"/>
      <c r="M99" s="232"/>
      <c r="N99" s="105"/>
      <c r="O99" s="14"/>
    </row>
    <row r="100" spans="1:15" s="9" customFormat="1" ht="12.75" customHeight="1" x14ac:dyDescent="0.2">
      <c r="A100" s="14"/>
      <c r="B100" s="796" t="s">
        <v>82</v>
      </c>
      <c r="C100" s="797"/>
      <c r="D100" s="140">
        <f>IF(Ou_SecDefiniti="Sì",IF(ISERROR(MATCH(ZonaTerritoriale,ElencoZone,0))=TRUE,0,INDEX(MatriceParametri,MATCH(ZonaTerritoriale,ElencoZone,0)+1,7)),0)</f>
        <v>15.28</v>
      </c>
      <c r="E100" s="107"/>
      <c r="F100" s="125">
        <f>PRODUCT(D98,D100)</f>
        <v>0</v>
      </c>
      <c r="G100" s="18"/>
      <c r="H100" s="140">
        <f>IF(Ou_SecDefiniti="Sì",IF(ISERROR(MATCH(ZonaTerritoriale,ElencoZone,0))=TRUE,0,INDEX(MatriceParametri,MATCH(ZonaTerritoriale,ElencoZone,0)+1,7)),0)</f>
        <v>15.28</v>
      </c>
      <c r="I100" s="107"/>
      <c r="J100" s="125">
        <f>PRODUCT(H98,H100)</f>
        <v>0</v>
      </c>
      <c r="K100" s="116"/>
      <c r="L100" s="18"/>
      <c r="M100" s="18"/>
      <c r="N100" s="105"/>
      <c r="O100" s="14"/>
    </row>
    <row r="101" spans="1:15" s="9" customFormat="1" ht="12.75" customHeight="1" x14ac:dyDescent="0.2">
      <c r="A101" s="14"/>
      <c r="B101" s="796" t="s">
        <v>83</v>
      </c>
      <c r="C101" s="797"/>
      <c r="D101" s="140">
        <f>IF(ISERROR(MATCH(ZonaTerritoriale,ElencoZone,0))=TRUE,0,INDEX(MatriceParametri,MATCH(ZonaTerritoriale,ElencoZone,0)+2,7))</f>
        <v>6.11</v>
      </c>
      <c r="E101" s="107"/>
      <c r="F101" s="125">
        <f>PRODUCT(D98,D101)</f>
        <v>0</v>
      </c>
      <c r="G101" s="18"/>
      <c r="H101" s="140">
        <f>IF(ISERROR(MATCH(ZonaTerritoriale,ElencoZone,0))=TRUE,0,INDEX(MatriceParametri,MATCH(ZonaTerritoriale,ElencoZone,0)+2,7))</f>
        <v>6.11</v>
      </c>
      <c r="I101" s="107"/>
      <c r="J101" s="125">
        <f>PRODUCT(H98,H101)</f>
        <v>0</v>
      </c>
      <c r="K101" s="116"/>
      <c r="L101" s="18"/>
      <c r="M101" s="18"/>
      <c r="N101" s="105"/>
      <c r="O101" s="14"/>
    </row>
    <row r="102" spans="1:15" s="5" customFormat="1" ht="20.100000000000001" customHeight="1" x14ac:dyDescent="0.2">
      <c r="A102"/>
      <c r="B102" s="834" t="str">
        <f>Parametri_DestUsoPersonalizzazione4</f>
        <v xml:space="preserve">Industriale alberghiera </v>
      </c>
      <c r="C102" s="835"/>
      <c r="D102" s="798">
        <f>Ou_UsoIniziale_IndAlb_ParVirt</f>
        <v>0</v>
      </c>
      <c r="E102" s="798"/>
      <c r="F102" s="798"/>
      <c r="G102" s="234"/>
      <c r="H102" s="798">
        <f>Ou_NuovaEd_IndAlb_ParVirt</f>
        <v>0</v>
      </c>
      <c r="I102" s="798"/>
      <c r="J102" s="798"/>
      <c r="K102" s="237"/>
      <c r="L102" s="236"/>
      <c r="M102" s="236"/>
      <c r="N102" s="44"/>
      <c r="O102"/>
    </row>
    <row r="103" spans="1:15" s="9" customFormat="1" ht="12.75" customHeight="1" x14ac:dyDescent="0.2">
      <c r="A103" s="14"/>
      <c r="B103" s="800" t="s">
        <v>81</v>
      </c>
      <c r="C103" s="801"/>
      <c r="D103" s="140">
        <f>IF(Ou_PrimariaDefiniti="Sì",IF(ISERROR(MATCH(ZonaTerritoriale,ElencoZone,0))=TRUE,0,INDEX(MatriceParametri,MATCH(ZonaTerritoriale,ElencoZone,0),9)),0)</f>
        <v>61.12</v>
      </c>
      <c r="E103" s="107"/>
      <c r="F103" s="125">
        <f>PRODUCT(D102,D103)</f>
        <v>0</v>
      </c>
      <c r="G103" s="127"/>
      <c r="H103" s="140">
        <f>IF(Ou_PrimariaDefiniti="Sì",IF(ISERROR(MATCH(ZonaTerritoriale,ElencoZone,0))=TRUE,0,INDEX(MatriceParametri,MATCH(ZonaTerritoriale,ElencoZone,0),9)),0)</f>
        <v>61.12</v>
      </c>
      <c r="I103" s="107"/>
      <c r="J103" s="125">
        <f>PRODUCT(H102,H103)</f>
        <v>0</v>
      </c>
      <c r="K103" s="116"/>
      <c r="L103" s="18"/>
      <c r="M103" s="18"/>
      <c r="N103" s="105"/>
      <c r="O103" s="14"/>
    </row>
    <row r="104" spans="1:15" s="9" customFormat="1" ht="12.75" customHeight="1" x14ac:dyDescent="0.2">
      <c r="A104" s="14"/>
      <c r="B104" s="796" t="s">
        <v>82</v>
      </c>
      <c r="C104" s="797"/>
      <c r="D104" s="140">
        <f>IF(Ou_SecDefiniti="Sì",IF(ISERROR(MATCH(ZonaTerritoriale,ElencoZone,0))=TRUE,0,INDEX(MatriceParametri,MATCH(ZonaTerritoriale,ElencoZone,0)+1,9)),0)</f>
        <v>53.47</v>
      </c>
      <c r="E104" s="107"/>
      <c r="F104" s="125">
        <f>PRODUCT(D102,D104)</f>
        <v>0</v>
      </c>
      <c r="G104" s="18"/>
      <c r="H104" s="140">
        <f>IF(Ou_SecDefiniti="Sì",IF(ISERROR(MATCH(ZonaTerritoriale,ElencoZone,0))=TRUE,0,INDEX(MatriceParametri,MATCH(ZonaTerritoriale,ElencoZone,0)+1,9)),0)</f>
        <v>53.47</v>
      </c>
      <c r="I104" s="107"/>
      <c r="J104" s="125">
        <f>PRODUCT(H102,H104)</f>
        <v>0</v>
      </c>
      <c r="K104" s="116"/>
      <c r="L104" s="18"/>
      <c r="M104" s="115"/>
      <c r="N104" s="105"/>
      <c r="O104" s="14"/>
    </row>
    <row r="105" spans="1:15" s="9" customFormat="1" ht="12.75" customHeight="1" x14ac:dyDescent="0.2">
      <c r="A105" s="14"/>
      <c r="B105" s="796" t="s">
        <v>83</v>
      </c>
      <c r="C105" s="797"/>
      <c r="D105" s="140">
        <f>IF(ISERROR(MATCH(ZonaTerritoriale,ElencoZone,0))=TRUE,0,INDEX(MatriceParametri,MATCH(ZonaTerritoriale,ElencoZone,0)+2,9))</f>
        <v>0</v>
      </c>
      <c r="E105" s="107"/>
      <c r="F105" s="125">
        <f>PRODUCT(D102,D105)</f>
        <v>0</v>
      </c>
      <c r="G105" s="18"/>
      <c r="H105" s="140">
        <f>IF(ISERROR(MATCH(ZonaTerritoriale,ElencoZone,0))=TRUE,0,INDEX(MatriceParametri,MATCH(ZonaTerritoriale,ElencoZone,0)+2,9))</f>
        <v>0</v>
      </c>
      <c r="I105" s="107"/>
      <c r="J105" s="125">
        <f>PRODUCT(H102,H105)</f>
        <v>0</v>
      </c>
      <c r="K105" s="116"/>
      <c r="L105" s="18"/>
      <c r="M105" s="18"/>
      <c r="N105" s="105"/>
      <c r="O105" s="14"/>
    </row>
    <row r="106" spans="1:15" s="5" customFormat="1" ht="20.100000000000001" customHeight="1" x14ac:dyDescent="0.2">
      <c r="A106"/>
      <c r="B106" s="834" t="str">
        <f>Parametri_DestUsoPersonalizzazione5</f>
        <v>Parcheggi, silos (posto auto)</v>
      </c>
      <c r="C106" s="835"/>
      <c r="D106" s="798">
        <f>Ou_UsoIniziale_ParSil_ParVirt</f>
        <v>0</v>
      </c>
      <c r="E106" s="798"/>
      <c r="F106" s="798"/>
      <c r="G106" s="236"/>
      <c r="H106" s="798">
        <f>Ou_NuovaEd_ParSil_ParVirt</f>
        <v>0</v>
      </c>
      <c r="I106" s="798"/>
      <c r="J106" s="798"/>
      <c r="K106" s="237"/>
      <c r="L106" s="236"/>
      <c r="M106" s="236"/>
      <c r="N106" s="44"/>
      <c r="O106"/>
    </row>
    <row r="107" spans="1:15" s="5" customFormat="1" ht="12.75" customHeight="1" x14ac:dyDescent="0.2">
      <c r="A107" s="14"/>
      <c r="B107" s="800" t="s">
        <v>81</v>
      </c>
      <c r="C107" s="801"/>
      <c r="D107" s="137">
        <f>IF(Ou_PrimariaDefiniti="Sì",IF(ISERROR(MATCH(ZonaTerritoriale,ElencoZone,0))=TRUE,0,INDEX(MatriceParametri,MATCH(ZonaTerritoriale,ElencoZone,0),11)),0)</f>
        <v>132.62</v>
      </c>
      <c r="E107" s="107"/>
      <c r="F107" s="125">
        <f>PRODUCT(D106,D107)</f>
        <v>0</v>
      </c>
      <c r="G107" s="127"/>
      <c r="H107" s="137">
        <f>IF(Ou_PrimariaDefiniti="Sì",IF(ISERROR(MATCH(ZonaTerritoriale,ElencoZone,0))=TRUE,0,INDEX(MatriceParametri,MATCH(ZonaTerritoriale,ElencoZone,0),11)),0)</f>
        <v>132.62</v>
      </c>
      <c r="I107" s="107"/>
      <c r="J107" s="125">
        <f>PRODUCT(H106,H107)</f>
        <v>0</v>
      </c>
      <c r="K107" s="116"/>
      <c r="L107" s="18"/>
      <c r="M107" s="115"/>
      <c r="N107" s="105"/>
      <c r="O107"/>
    </row>
    <row r="108" spans="1:15" s="5" customFormat="1" ht="12.75" customHeight="1" x14ac:dyDescent="0.2">
      <c r="A108" s="14"/>
      <c r="B108" s="796" t="s">
        <v>82</v>
      </c>
      <c r="C108" s="797"/>
      <c r="D108" s="138">
        <f>IF(Ou_SecDefiniti="Sì",IF(ISERROR(MATCH(ZonaTerritoriale,ElencoZone,0))=TRUE,0,INDEX(MatriceParametri,MATCH(ZonaTerritoriale,ElencoZone,0)+1,11)),0)</f>
        <v>62.04</v>
      </c>
      <c r="E108" s="107"/>
      <c r="F108" s="125">
        <f>PRODUCT(D106,D108)</f>
        <v>0</v>
      </c>
      <c r="G108" s="18"/>
      <c r="H108" s="138">
        <f>IF(Ou_SecDefiniti="Sì",IF(ISERROR(MATCH(ZonaTerritoriale,ElencoZone,0))=TRUE,0,INDEX(MatriceParametri,MATCH(ZonaTerritoriale,ElencoZone,0)+1,11)),0)</f>
        <v>62.04</v>
      </c>
      <c r="I108" s="107"/>
      <c r="J108" s="125">
        <f>PRODUCT(H106,H108)</f>
        <v>0</v>
      </c>
      <c r="K108" s="116"/>
      <c r="L108" s="18"/>
      <c r="M108" s="115"/>
      <c r="N108" s="105"/>
      <c r="O108"/>
    </row>
    <row r="109" spans="1:15" s="9" customFormat="1" ht="12.75" customHeight="1" x14ac:dyDescent="0.2">
      <c r="A109" s="14"/>
      <c r="B109" s="796" t="s">
        <v>83</v>
      </c>
      <c r="C109" s="797"/>
      <c r="D109" s="140">
        <f>IF(ISERROR(MATCH(ZonaTerritoriale,ElencoZone,0))=TRUE,0,INDEX(MatriceParametri,MATCH(ZonaTerritoriale,ElencoZone,0)+2,11))</f>
        <v>0</v>
      </c>
      <c r="E109" s="107"/>
      <c r="F109" s="125">
        <f>PRODUCT(D106,D109)</f>
        <v>0</v>
      </c>
      <c r="G109" s="18"/>
      <c r="H109" s="140">
        <f>IF(ISERROR(MATCH(ZonaTerritoriale,ElencoZone,0))=TRUE,0,INDEX(MatriceParametri,MATCH(ZonaTerritoriale,ElencoZone,0)+2,11))</f>
        <v>0</v>
      </c>
      <c r="I109" s="107"/>
      <c r="J109" s="125">
        <f>PRODUCT(H106,H109)</f>
        <v>0</v>
      </c>
      <c r="K109" s="116"/>
      <c r="L109" s="18"/>
      <c r="M109" s="18"/>
      <c r="N109" s="105"/>
      <c r="O109" s="14"/>
    </row>
    <row r="110" spans="1:15" s="5" customFormat="1" ht="20.100000000000001" customHeight="1" x14ac:dyDescent="0.2">
      <c r="A110"/>
      <c r="B110" s="834" t="str">
        <f>Parametri_DestUsoPersonalizzazione6</f>
        <v>Attrezzature culturali e sanitarie</v>
      </c>
      <c r="C110" s="835"/>
      <c r="D110" s="798">
        <f>Ou_UsoIniziale_CultSan_ParVirt</f>
        <v>0</v>
      </c>
      <c r="E110" s="798"/>
      <c r="F110" s="798"/>
      <c r="G110" s="236"/>
      <c r="H110" s="798">
        <f>Ou_NuovaEd_CultSan_ParVirt</f>
        <v>0</v>
      </c>
      <c r="I110" s="798"/>
      <c r="J110" s="798"/>
      <c r="K110" s="237"/>
      <c r="L110" s="236"/>
      <c r="M110" s="236"/>
      <c r="N110" s="44"/>
      <c r="O110"/>
    </row>
    <row r="111" spans="1:15" s="5" customFormat="1" ht="12.75" customHeight="1" x14ac:dyDescent="0.2">
      <c r="A111" s="14"/>
      <c r="B111" s="800" t="s">
        <v>81</v>
      </c>
      <c r="C111" s="801"/>
      <c r="D111" s="137">
        <f>IF(Ou_PrimariaDefiniti="Sì",IF(ISERROR(MATCH(ZonaTerritoriale,ElencoZone,0))=TRUE,0,INDEX(MatriceParametri,MATCH(ZonaTerritoriale,ElencoZone,0),13)),0)</f>
        <v>15.28</v>
      </c>
      <c r="E111" s="107"/>
      <c r="F111" s="125">
        <f>PRODUCT(D110,D111)</f>
        <v>0</v>
      </c>
      <c r="G111" s="127"/>
      <c r="H111" s="137">
        <f>IF(Ou_PrimariaDefiniti="Sì",IF(ISERROR(MATCH(ZonaTerritoriale,ElencoZone,0))=TRUE,0,INDEX(MatriceParametri,MATCH(ZonaTerritoriale,ElencoZone,0),13)),0)</f>
        <v>15.28</v>
      </c>
      <c r="I111" s="107"/>
      <c r="J111" s="125">
        <f>PRODUCT(H110,H111)</f>
        <v>0</v>
      </c>
      <c r="K111" s="116"/>
      <c r="L111" s="18"/>
      <c r="M111" s="115"/>
      <c r="N111" s="105"/>
      <c r="O111"/>
    </row>
    <row r="112" spans="1:15" s="5" customFormat="1" ht="12.75" customHeight="1" x14ac:dyDescent="0.2">
      <c r="A112" s="14"/>
      <c r="B112" s="796" t="s">
        <v>82</v>
      </c>
      <c r="C112" s="797"/>
      <c r="D112" s="138">
        <f>IF(Ou_SecDefiniti="Sì",IF(ISERROR(MATCH(ZonaTerritoriale,ElencoZone,0))=TRUE,0,INDEX(MatriceParametri,MATCH(ZonaTerritoriale,ElencoZone,0)+1,13)),0)</f>
        <v>4.58</v>
      </c>
      <c r="E112" s="107"/>
      <c r="F112" s="125">
        <f>PRODUCT(D110,D112)</f>
        <v>0</v>
      </c>
      <c r="G112" s="18"/>
      <c r="H112" s="138">
        <f>IF(Ou_SecDefiniti="Sì",IF(ISERROR(MATCH(ZonaTerritoriale,ElencoZone,0))=TRUE,0,INDEX(MatriceParametri,MATCH(ZonaTerritoriale,ElencoZone,0)+1,13)),0)</f>
        <v>4.58</v>
      </c>
      <c r="I112" s="107"/>
      <c r="J112" s="125">
        <f>PRODUCT(H110,H112)</f>
        <v>0</v>
      </c>
      <c r="K112" s="116"/>
      <c r="L112" s="18"/>
      <c r="M112" s="115"/>
      <c r="N112" s="105"/>
      <c r="O112"/>
    </row>
    <row r="113" spans="1:15" s="9" customFormat="1" ht="12.75" customHeight="1" x14ac:dyDescent="0.2">
      <c r="A113" s="14"/>
      <c r="B113" s="796" t="s">
        <v>83</v>
      </c>
      <c r="C113" s="797"/>
      <c r="D113" s="140">
        <f>IF(ISERROR(MATCH(ZonaTerritoriale,ElencoZone,0))=TRUE,0,INDEX(MatriceParametri,MATCH(ZonaTerritoriale,ElencoZone,0)+2,13))</f>
        <v>0</v>
      </c>
      <c r="E113" s="107"/>
      <c r="F113" s="125">
        <f>PRODUCT(D110,D113)</f>
        <v>0</v>
      </c>
      <c r="G113" s="18"/>
      <c r="H113" s="140">
        <f>IF(ISERROR(MATCH(ZonaTerritoriale,ElencoZone,0))=TRUE,0,INDEX(MatriceParametri,MATCH(ZonaTerritoriale,ElencoZone,0)+2,13))</f>
        <v>0</v>
      </c>
      <c r="I113" s="107"/>
      <c r="J113" s="125">
        <f>PRODUCT(H110,H113)</f>
        <v>0</v>
      </c>
      <c r="K113" s="116"/>
      <c r="L113" s="18"/>
      <c r="M113" s="18"/>
      <c r="N113" s="105"/>
      <c r="O113" s="14"/>
    </row>
    <row r="114" spans="1:15" s="5" customFormat="1" ht="20.100000000000001" customHeight="1" x14ac:dyDescent="0.2">
      <c r="A114"/>
      <c r="B114" s="834" t="str">
        <f>Parametri_DestUsoPersonalizzazione7</f>
        <v>Attrezzature sportive</v>
      </c>
      <c r="C114" s="835"/>
      <c r="D114" s="798">
        <f>Ou_UsoIniziale_AttSpor_ParVirt</f>
        <v>0</v>
      </c>
      <c r="E114" s="798"/>
      <c r="F114" s="798"/>
      <c r="G114" s="236"/>
      <c r="H114" s="798">
        <f>Ou_NuovaEd_AttSpor_ParVirt</f>
        <v>0</v>
      </c>
      <c r="I114" s="798"/>
      <c r="J114" s="798"/>
      <c r="K114" s="237"/>
      <c r="L114" s="236"/>
      <c r="M114" s="236"/>
      <c r="N114" s="44"/>
      <c r="O114"/>
    </row>
    <row r="115" spans="1:15" s="5" customFormat="1" ht="12.75" customHeight="1" x14ac:dyDescent="0.2">
      <c r="A115" s="14"/>
      <c r="B115" s="800" t="s">
        <v>81</v>
      </c>
      <c r="C115" s="801"/>
      <c r="D115" s="137">
        <f>IF(Ou_PrimariaDefiniti="Sì",IF(ISERROR(MATCH(ZonaTerritoriale,ElencoZone,0))=TRUE,0,INDEX(MatriceParametri,MATCH(ZonaTerritoriale,ElencoZone,0),15)),0)</f>
        <v>6.88</v>
      </c>
      <c r="E115" s="107"/>
      <c r="F115" s="125">
        <f>PRODUCT(D114,D115)</f>
        <v>0</v>
      </c>
      <c r="G115" s="127"/>
      <c r="H115" s="137">
        <f>IF(Ou_PrimariaDefiniti="Sì",IF(ISERROR(MATCH(ZonaTerritoriale,ElencoZone,0))=TRUE,0,INDEX(MatriceParametri,MATCH(ZonaTerritoriale,ElencoZone,0),15)),0)</f>
        <v>6.88</v>
      </c>
      <c r="I115" s="107"/>
      <c r="J115" s="125">
        <f>PRODUCT(H114,H115)</f>
        <v>0</v>
      </c>
      <c r="K115" s="116"/>
      <c r="L115" s="18"/>
      <c r="M115" s="115"/>
      <c r="N115" s="105"/>
      <c r="O115"/>
    </row>
    <row r="116" spans="1:15" s="5" customFormat="1" ht="12.75" customHeight="1" x14ac:dyDescent="0.2">
      <c r="A116" s="14"/>
      <c r="B116" s="796" t="s">
        <v>82</v>
      </c>
      <c r="C116" s="797"/>
      <c r="D116" s="138">
        <f>IF(Ou_SecDefiniti="Sì",IF(ISERROR(MATCH(ZonaTerritoriale,ElencoZone,0))=TRUE,0,INDEX(MatriceParametri,MATCH(ZonaTerritoriale,ElencoZone,0)+1,15)),0)</f>
        <v>2.2999999999999998</v>
      </c>
      <c r="E116" s="107"/>
      <c r="F116" s="125">
        <f>PRODUCT(D114,D116)</f>
        <v>0</v>
      </c>
      <c r="G116" s="18"/>
      <c r="H116" s="138">
        <f>IF(Ou_SecDefiniti="Sì",IF(ISERROR(MATCH(ZonaTerritoriale,ElencoZone,0))=TRUE,0,INDEX(MatriceParametri,MATCH(ZonaTerritoriale,ElencoZone,0)+1,15)),0)</f>
        <v>2.2999999999999998</v>
      </c>
      <c r="I116" s="107"/>
      <c r="J116" s="125">
        <f>PRODUCT(H114,H116)</f>
        <v>0</v>
      </c>
      <c r="K116" s="116"/>
      <c r="L116" s="18"/>
      <c r="M116" s="115"/>
      <c r="N116" s="105"/>
      <c r="O116"/>
    </row>
    <row r="117" spans="1:15" s="9" customFormat="1" ht="12.75" customHeight="1" x14ac:dyDescent="0.2">
      <c r="A117" s="14"/>
      <c r="B117" s="796" t="s">
        <v>83</v>
      </c>
      <c r="C117" s="797"/>
      <c r="D117" s="140">
        <f>IF(ISERROR(MATCH(ZonaTerritoriale,ElencoZone,0))=TRUE,0,INDEX(MatriceParametri,MATCH(ZonaTerritoriale,ElencoZone,0)+2,15))</f>
        <v>0</v>
      </c>
      <c r="E117" s="107"/>
      <c r="F117" s="125">
        <f>PRODUCT(D114,D117)</f>
        <v>0</v>
      </c>
      <c r="G117" s="18"/>
      <c r="H117" s="140">
        <f>IF(ISERROR(MATCH(ZonaTerritoriale,ElencoZone,0))=TRUE,0,INDEX(MatriceParametri,MATCH(ZonaTerritoriale,ElencoZone,0)+2,15))</f>
        <v>0</v>
      </c>
      <c r="I117" s="107"/>
      <c r="J117" s="125">
        <f>PRODUCT(H114,H117)</f>
        <v>0</v>
      </c>
      <c r="K117" s="116"/>
      <c r="L117" s="18"/>
      <c r="M117" s="18"/>
      <c r="N117" s="105"/>
      <c r="O117" s="14"/>
    </row>
    <row r="118" spans="1:15" s="5" customFormat="1" ht="20.100000000000001" customHeight="1" x14ac:dyDescent="0.2">
      <c r="A118"/>
      <c r="B118" s="834" t="str">
        <f>Parametri_DestUsoPersonalizzazione8</f>
        <v>Attrezzature spettacolo</v>
      </c>
      <c r="C118" s="835"/>
      <c r="D118" s="798">
        <f>Ou_UsoIniziale_AttSpet_ParVirt</f>
        <v>0</v>
      </c>
      <c r="E118" s="798"/>
      <c r="F118" s="798"/>
      <c r="G118" s="236"/>
      <c r="H118" s="798">
        <f>Ou_NuovaEd_AttSpet_ParVirt</f>
        <v>0</v>
      </c>
      <c r="I118" s="798"/>
      <c r="J118" s="798"/>
      <c r="K118" s="237"/>
      <c r="L118" s="236"/>
      <c r="M118" s="236"/>
      <c r="N118" s="44"/>
      <c r="O118"/>
    </row>
    <row r="119" spans="1:15" s="5" customFormat="1" ht="12.75" customHeight="1" x14ac:dyDescent="0.2">
      <c r="A119" s="14"/>
      <c r="B119" s="800" t="s">
        <v>81</v>
      </c>
      <c r="C119" s="801"/>
      <c r="D119" s="137">
        <f>IF(Ou_PrimariaDefiniti="Sì",IF(ISERROR(MATCH(ZonaTerritoriale,ElencoZone,0))=TRUE,0,INDEX(MatriceParametri,MATCH(ZonaTerritoriale,ElencoZone,0),17)),0)</f>
        <v>19.87</v>
      </c>
      <c r="E119" s="107"/>
      <c r="F119" s="125">
        <f>PRODUCT(D118,D119)</f>
        <v>0</v>
      </c>
      <c r="G119" s="127"/>
      <c r="H119" s="137">
        <f>IF(Ou_PrimariaDefiniti="Sì",IF(ISERROR(MATCH(ZonaTerritoriale,ElencoZone,0))=TRUE,0,INDEX(MatriceParametri,MATCH(ZonaTerritoriale,ElencoZone,0),17)),0)</f>
        <v>19.87</v>
      </c>
      <c r="I119" s="107"/>
      <c r="J119" s="125">
        <f>PRODUCT(H118,H119)</f>
        <v>0</v>
      </c>
      <c r="K119" s="116"/>
      <c r="L119" s="18"/>
      <c r="M119" s="115"/>
      <c r="N119" s="105"/>
      <c r="O119"/>
    </row>
    <row r="120" spans="1:15" s="5" customFormat="1" ht="12.75" customHeight="1" x14ac:dyDescent="0.2">
      <c r="A120" s="14"/>
      <c r="B120" s="796" t="s">
        <v>82</v>
      </c>
      <c r="C120" s="797"/>
      <c r="D120" s="138">
        <f>IF(Ou_SecDefiniti="Sì",IF(ISERROR(MATCH(ZonaTerritoriale,ElencoZone,0))=TRUE,0,INDEX(MatriceParametri,MATCH(ZonaTerritoriale,ElencoZone,0)+1,17)),0)</f>
        <v>6.88</v>
      </c>
      <c r="E120" s="107"/>
      <c r="F120" s="125">
        <f>PRODUCT(D118,D120)</f>
        <v>0</v>
      </c>
      <c r="G120" s="18"/>
      <c r="H120" s="138">
        <f>IF(Ou_SecDefiniti="Sì",IF(ISERROR(MATCH(ZonaTerritoriale,ElencoZone,0))=TRUE,0,INDEX(MatriceParametri,MATCH(ZonaTerritoriale,ElencoZone,0)+1,17)),0)</f>
        <v>6.88</v>
      </c>
      <c r="I120" s="107"/>
      <c r="J120" s="125">
        <f>PRODUCT(H118,H120)</f>
        <v>0</v>
      </c>
      <c r="K120" s="116"/>
      <c r="L120" s="18"/>
      <c r="M120" s="115"/>
      <c r="N120" s="105"/>
      <c r="O120"/>
    </row>
    <row r="121" spans="1:15" s="9" customFormat="1" ht="12.75" customHeight="1" x14ac:dyDescent="0.2">
      <c r="A121" s="14"/>
      <c r="B121" s="796" t="s">
        <v>83</v>
      </c>
      <c r="C121" s="797"/>
      <c r="D121" s="140">
        <f>IF(ISERROR(MATCH(ZonaTerritoriale,ElencoZone,0))=TRUE,0,INDEX(MatriceParametri,MATCH(ZonaTerritoriale,ElencoZone,0)+2,17))</f>
        <v>0</v>
      </c>
      <c r="E121" s="107"/>
      <c r="F121" s="125">
        <f>PRODUCT(D118,D121)</f>
        <v>0</v>
      </c>
      <c r="G121" s="18"/>
      <c r="H121" s="140">
        <f>IF(ISERROR(MATCH(ZonaTerritoriale,ElencoZone,0))=TRUE,0,INDEX(MatriceParametri,MATCH(ZonaTerritoriale,ElencoZone,0)+2,17))</f>
        <v>0</v>
      </c>
      <c r="I121" s="107"/>
      <c r="J121" s="125">
        <f>PRODUCT(H118,H121)</f>
        <v>0</v>
      </c>
      <c r="K121" s="116"/>
      <c r="L121" s="18"/>
      <c r="M121" s="18"/>
      <c r="N121" s="105"/>
      <c r="O121" s="14"/>
    </row>
    <row r="122" spans="1:15" s="5" customFormat="1" ht="20.100000000000001" customHeight="1" x14ac:dyDescent="0.2">
      <c r="A122"/>
      <c r="B122" s="834" t="str">
        <f>Parametri_DestUsoPersonalizzazione9</f>
        <v>attività industriale</v>
      </c>
      <c r="C122" s="835"/>
      <c r="D122" s="798">
        <f>Ou_UsoIniziale_Person1_ParVirt</f>
        <v>0</v>
      </c>
      <c r="E122" s="798"/>
      <c r="F122" s="798"/>
      <c r="G122" s="236"/>
      <c r="H122" s="798">
        <f>Ou_NuovaEd_Person1_ParVirt</f>
        <v>0</v>
      </c>
      <c r="I122" s="798"/>
      <c r="J122" s="798"/>
      <c r="K122" s="237"/>
      <c r="L122" s="236"/>
      <c r="M122" s="236"/>
      <c r="N122" s="44"/>
      <c r="O122"/>
    </row>
    <row r="123" spans="1:15" s="5" customFormat="1" ht="12.75" customHeight="1" x14ac:dyDescent="0.2">
      <c r="A123" s="14"/>
      <c r="B123" s="800" t="s">
        <v>81</v>
      </c>
      <c r="C123" s="801"/>
      <c r="D123" s="137">
        <f>IF(Ou_PrimariaDefiniti="Sì",IF(ISERROR(MATCH(ZonaTerritoriale,ElencoZone,0))=TRUE,0,INDEX(MatriceParametri,MATCH(ZonaTerritoriale,ElencoZone,0),19)),0)</f>
        <v>19.09</v>
      </c>
      <c r="E123" s="107"/>
      <c r="F123" s="125">
        <f>PRODUCT(D122,D123)</f>
        <v>0</v>
      </c>
      <c r="G123" s="127"/>
      <c r="H123" s="137">
        <f>IF(Ou_PrimariaDefiniti="Sì",IF(ISERROR(MATCH(ZonaTerritoriale,ElencoZone,0))=TRUE,0,INDEX(MatriceParametri,MATCH(ZonaTerritoriale,ElencoZone,0),19)),0)</f>
        <v>19.09</v>
      </c>
      <c r="I123" s="107"/>
      <c r="J123" s="125">
        <f>PRODUCT(H122,H123)</f>
        <v>0</v>
      </c>
      <c r="K123" s="116"/>
      <c r="L123" s="18"/>
      <c r="M123" s="115"/>
      <c r="N123" s="105"/>
      <c r="O123"/>
    </row>
    <row r="124" spans="1:15" s="5" customFormat="1" ht="12.75" customHeight="1" x14ac:dyDescent="0.2">
      <c r="A124" s="14"/>
      <c r="B124" s="796" t="s">
        <v>82</v>
      </c>
      <c r="C124" s="797"/>
      <c r="D124" s="138">
        <f>IF(Ou_SecDefiniti="Sì",IF(ISERROR(MATCH(ZonaTerritoriale,ElencoZone,0))=TRUE,0,INDEX(MatriceParametri,MATCH(ZonaTerritoriale,ElencoZone,0)+1,19)),0)</f>
        <v>17.57</v>
      </c>
      <c r="E124" s="107"/>
      <c r="F124" s="125">
        <f>PRODUCT(D122,D124)</f>
        <v>0</v>
      </c>
      <c r="G124" s="18"/>
      <c r="H124" s="138">
        <f>IF(Ou_SecDefiniti="Sì",IF(ISERROR(MATCH(ZonaTerritoriale,ElencoZone,0))=TRUE,0,INDEX(MatriceParametri,MATCH(ZonaTerritoriale,ElencoZone,0)+1,19)),0)</f>
        <v>17.57</v>
      </c>
      <c r="I124" s="107"/>
      <c r="J124" s="125">
        <f>PRODUCT(H122,H124)</f>
        <v>0</v>
      </c>
      <c r="K124" s="116"/>
      <c r="L124" s="18"/>
      <c r="M124" s="115"/>
      <c r="N124" s="105"/>
      <c r="O124"/>
    </row>
    <row r="125" spans="1:15" s="9" customFormat="1" ht="12.75" customHeight="1" x14ac:dyDescent="0.2">
      <c r="A125" s="14"/>
      <c r="B125" s="796" t="s">
        <v>83</v>
      </c>
      <c r="C125" s="797"/>
      <c r="D125" s="140">
        <f>IF(ISERROR(MATCH(ZonaTerritoriale,ElencoZone,0))=TRUE,0,INDEX(MatriceParametri,MATCH(ZonaTerritoriale,ElencoZone,0)+2,19))</f>
        <v>6.11</v>
      </c>
      <c r="E125" s="107"/>
      <c r="F125" s="125">
        <f>PRODUCT(D122,D125)</f>
        <v>0</v>
      </c>
      <c r="G125" s="18"/>
      <c r="H125" s="140">
        <f>IF(ISERROR(MATCH(ZonaTerritoriale,ElencoZone,0))=TRUE,0,INDEX(MatriceParametri,MATCH(ZonaTerritoriale,ElencoZone,0)+2,19))</f>
        <v>6.11</v>
      </c>
      <c r="I125" s="107"/>
      <c r="J125" s="125">
        <f>PRODUCT(H122,H125)</f>
        <v>0</v>
      </c>
      <c r="K125" s="116"/>
      <c r="L125" s="18"/>
      <c r="M125" s="18"/>
      <c r="N125" s="105"/>
      <c r="O125" s="14"/>
    </row>
    <row r="126" spans="1:15" s="5" customFormat="1" ht="20.100000000000001" customHeight="1" x14ac:dyDescent="0.2">
      <c r="A126"/>
      <c r="B126" s="834" t="str">
        <f>Parametri_DestUsoPersonalizzazione10</f>
        <v>Destinazione ulteriore 2</v>
      </c>
      <c r="C126" s="835"/>
      <c r="D126" s="798">
        <f>Ou_UsoIniziale_Person2_ParVirt</f>
        <v>0</v>
      </c>
      <c r="E126" s="798"/>
      <c r="F126" s="798"/>
      <c r="G126" s="236"/>
      <c r="H126" s="798">
        <f>Ou_NuovaEd_Person2_ParVirt</f>
        <v>0</v>
      </c>
      <c r="I126" s="798"/>
      <c r="J126" s="798"/>
      <c r="K126" s="237"/>
      <c r="L126" s="236"/>
      <c r="M126" s="236"/>
      <c r="N126" s="44"/>
      <c r="O126"/>
    </row>
    <row r="127" spans="1:15" s="5" customFormat="1" ht="12.75" customHeight="1" x14ac:dyDescent="0.2">
      <c r="A127" s="14"/>
      <c r="B127" s="800" t="s">
        <v>81</v>
      </c>
      <c r="C127" s="801"/>
      <c r="D127" s="137">
        <f>IF(Ou_PrimariaDefiniti="Sì",IF(ISERROR(MATCH(ZonaTerritoriale,ElencoZone,0))=TRUE,0,INDEX(MatriceParametri,MATCH(ZonaTerritoriale,ElencoZone,0),21)),0)</f>
        <v>0</v>
      </c>
      <c r="E127" s="107"/>
      <c r="F127" s="125">
        <f>PRODUCT(D126,D127)</f>
        <v>0</v>
      </c>
      <c r="G127" s="127"/>
      <c r="H127" s="137">
        <f>IF(Ou_PrimariaDefiniti="Sì",IF(ISERROR(MATCH(ZonaTerritoriale,ElencoZone,0))=TRUE,0,INDEX(MatriceParametri,MATCH(ZonaTerritoriale,ElencoZone,0),21)),0)</f>
        <v>0</v>
      </c>
      <c r="I127" s="107"/>
      <c r="J127" s="125">
        <f>PRODUCT(H126,H127)</f>
        <v>0</v>
      </c>
      <c r="K127" s="116"/>
      <c r="L127" s="18"/>
      <c r="M127" s="115"/>
      <c r="N127" s="105"/>
      <c r="O127"/>
    </row>
    <row r="128" spans="1:15" s="5" customFormat="1" ht="12.75" customHeight="1" x14ac:dyDescent="0.2">
      <c r="A128" s="14"/>
      <c r="B128" s="796" t="s">
        <v>82</v>
      </c>
      <c r="C128" s="797"/>
      <c r="D128" s="138">
        <f>IF(Ou_SecDefiniti="Sì",IF(ISERROR(MATCH(ZonaTerritoriale,ElencoZone,0))=TRUE,0,INDEX(MatriceParametri,MATCH(ZonaTerritoriale,ElencoZone,0)+1,21)),0)</f>
        <v>0</v>
      </c>
      <c r="E128" s="107"/>
      <c r="F128" s="125">
        <f>PRODUCT(D126,D128)</f>
        <v>0</v>
      </c>
      <c r="G128" s="18"/>
      <c r="H128" s="138">
        <f>IF(Ou_SecDefiniti="Sì",IF(ISERROR(MATCH(ZonaTerritoriale,ElencoZone,0))=TRUE,0,INDEX(MatriceParametri,MATCH(ZonaTerritoriale,ElencoZone,0)+1,21)),0)</f>
        <v>0</v>
      </c>
      <c r="I128" s="107"/>
      <c r="J128" s="125">
        <f>PRODUCT(H126,H128)</f>
        <v>0</v>
      </c>
      <c r="K128" s="116"/>
      <c r="L128" s="18"/>
      <c r="M128" s="115"/>
      <c r="N128" s="105"/>
      <c r="O128"/>
    </row>
    <row r="129" spans="1:15" s="9" customFormat="1" ht="12.75" customHeight="1" x14ac:dyDescent="0.2">
      <c r="A129" s="14"/>
      <c r="B129" s="796" t="s">
        <v>83</v>
      </c>
      <c r="C129" s="797"/>
      <c r="D129" s="140">
        <f>IF(ISERROR(MATCH(ZonaTerritoriale,ElencoZone,0))=TRUE,0,INDEX(MatriceParametri,MATCH(ZonaTerritoriale,ElencoZone,0)+2,21))</f>
        <v>0</v>
      </c>
      <c r="E129" s="107"/>
      <c r="F129" s="125">
        <f>PRODUCT(D126,D129)</f>
        <v>0</v>
      </c>
      <c r="G129" s="18"/>
      <c r="H129" s="140">
        <f>IF(ISERROR(MATCH(ZonaTerritoriale,ElencoZone,0))=TRUE,0,INDEX(MatriceParametri,MATCH(ZonaTerritoriale,ElencoZone,0)+2,21))</f>
        <v>0</v>
      </c>
      <c r="I129" s="107"/>
      <c r="J129" s="125">
        <f>PRODUCT(H126,H129)</f>
        <v>0</v>
      </c>
      <c r="K129" s="116"/>
      <c r="L129" s="18"/>
      <c r="M129" s="18"/>
      <c r="N129" s="105"/>
      <c r="O129" s="14"/>
    </row>
    <row r="130" spans="1:15" s="5" customFormat="1" ht="20.100000000000001" customHeight="1" x14ac:dyDescent="0.2">
      <c r="A130"/>
      <c r="B130" s="834" t="str">
        <f>Parametri_DestUsoPersonalizzazione11</f>
        <v>Destinazione ulteriore 3</v>
      </c>
      <c r="C130" s="835"/>
      <c r="D130" s="798">
        <f>Ou_UsoIniziale_Person3_ParVirt</f>
        <v>0</v>
      </c>
      <c r="E130" s="798"/>
      <c r="F130" s="798"/>
      <c r="G130" s="236"/>
      <c r="H130" s="798">
        <f>Ou_NuovaEd_Person3_ParVirt</f>
        <v>0</v>
      </c>
      <c r="I130" s="798"/>
      <c r="J130" s="798"/>
      <c r="K130" s="237"/>
      <c r="L130" s="236"/>
      <c r="M130" s="236"/>
      <c r="N130" s="44"/>
      <c r="O130"/>
    </row>
    <row r="131" spans="1:15" s="5" customFormat="1" ht="12.75" customHeight="1" x14ac:dyDescent="0.2">
      <c r="A131" s="14"/>
      <c r="B131" s="800" t="s">
        <v>81</v>
      </c>
      <c r="C131" s="801"/>
      <c r="D131" s="137">
        <f>IF(Ou_PrimariaDefiniti="Sì",IF(ISERROR(MATCH(ZonaTerritoriale,ElencoZone,0))=TRUE,0,INDEX(MatriceParametri,MATCH(ZonaTerritoriale,ElencoZone,0),23)),0)</f>
        <v>0</v>
      </c>
      <c r="E131" s="107"/>
      <c r="F131" s="125">
        <f>PRODUCT(D130,D131)</f>
        <v>0</v>
      </c>
      <c r="G131" s="127"/>
      <c r="H131" s="137">
        <f>IF(Ou_PrimariaDefiniti="Sì",IF(ISERROR(MATCH(ZonaTerritoriale,ElencoZone,0))=TRUE,0,INDEX(MatriceParametri,MATCH(ZonaTerritoriale,ElencoZone,0),23)),0)</f>
        <v>0</v>
      </c>
      <c r="I131" s="107"/>
      <c r="J131" s="125">
        <f>PRODUCT(H130,H131)</f>
        <v>0</v>
      </c>
      <c r="K131" s="116"/>
      <c r="L131" s="18"/>
      <c r="M131" s="115"/>
      <c r="N131" s="105"/>
      <c r="O131"/>
    </row>
    <row r="132" spans="1:15" s="5" customFormat="1" ht="12.75" customHeight="1" x14ac:dyDescent="0.2">
      <c r="A132" s="14"/>
      <c r="B132" s="796" t="s">
        <v>82</v>
      </c>
      <c r="C132" s="797"/>
      <c r="D132" s="138">
        <f>IF(Ou_SecDefiniti="Sì",IF(ISERROR(MATCH(ZonaTerritoriale,ElencoZone,0))=TRUE,0,INDEX(MatriceParametri,MATCH(ZonaTerritoriale,ElencoZone,0)+1,23)),0)</f>
        <v>0</v>
      </c>
      <c r="E132" s="107"/>
      <c r="F132" s="125">
        <f>PRODUCT(D130,D132)</f>
        <v>0</v>
      </c>
      <c r="G132" s="18"/>
      <c r="H132" s="138">
        <f>IF(Ou_SecDefiniti="Sì",IF(ISERROR(MATCH(ZonaTerritoriale,ElencoZone,0))=TRUE,0,INDEX(MatriceParametri,MATCH(ZonaTerritoriale,ElencoZone,0)+1,23)),0)</f>
        <v>0</v>
      </c>
      <c r="I132" s="107"/>
      <c r="J132" s="125">
        <f>PRODUCT(H130,H132)</f>
        <v>0</v>
      </c>
      <c r="K132" s="116"/>
      <c r="L132" s="18"/>
      <c r="M132" s="115"/>
      <c r="N132" s="105"/>
      <c r="O132"/>
    </row>
    <row r="133" spans="1:15" s="9" customFormat="1" ht="12.75" customHeight="1" x14ac:dyDescent="0.2">
      <c r="A133" s="14"/>
      <c r="B133" s="796" t="s">
        <v>83</v>
      </c>
      <c r="C133" s="797"/>
      <c r="D133" s="140">
        <f>IF(ISERROR(MATCH(ZonaTerritoriale,ElencoZone,0))=TRUE,0,INDEX(MatriceParametri,MATCH(ZonaTerritoriale,ElencoZone,0)+2,23))</f>
        <v>0</v>
      </c>
      <c r="E133" s="107"/>
      <c r="F133" s="125">
        <f>PRODUCT(D130,D133)</f>
        <v>0</v>
      </c>
      <c r="G133" s="18"/>
      <c r="H133" s="140">
        <f>IF(ISERROR(MATCH(ZonaTerritoriale,ElencoZone,0))=TRUE,0,INDEX(MatriceParametri,MATCH(ZonaTerritoriale,ElencoZone,0)+2,23))</f>
        <v>0</v>
      </c>
      <c r="I133" s="107"/>
      <c r="J133" s="125">
        <f>PRODUCT(H130,H133)</f>
        <v>0</v>
      </c>
      <c r="K133" s="116"/>
      <c r="L133" s="18"/>
      <c r="M133" s="18"/>
      <c r="N133" s="105"/>
      <c r="O133" s="14"/>
    </row>
    <row r="134" spans="1:15" s="5" customFormat="1" ht="20.100000000000001" customHeight="1" x14ac:dyDescent="0.2">
      <c r="A134"/>
      <c r="B134" s="834" t="str">
        <f>Parametri_DestUsoPersonalizzazione12</f>
        <v>Destinazione ulteriore 4</v>
      </c>
      <c r="C134" s="835"/>
      <c r="D134" s="798">
        <f>Ou_UsoIniziale_Person4_ParVirt</f>
        <v>0</v>
      </c>
      <c r="E134" s="798"/>
      <c r="F134" s="798"/>
      <c r="G134" s="236"/>
      <c r="H134" s="798">
        <f>Ou_NuovaEd_Person4_ParVirt</f>
        <v>0</v>
      </c>
      <c r="I134" s="798"/>
      <c r="J134" s="798"/>
      <c r="K134" s="237"/>
      <c r="L134" s="236"/>
      <c r="M134" s="236"/>
      <c r="N134" s="44"/>
      <c r="O134"/>
    </row>
    <row r="135" spans="1:15" s="5" customFormat="1" ht="12.75" customHeight="1" x14ac:dyDescent="0.2">
      <c r="A135" s="14"/>
      <c r="B135" s="800" t="s">
        <v>81</v>
      </c>
      <c r="C135" s="801"/>
      <c r="D135" s="137">
        <f>IF(Ou_PrimariaDefiniti="Sì",IF(ISERROR(MATCH(ZonaTerritoriale,ElencoZone,0))=TRUE,0,INDEX(MatriceParametri,MATCH(ZonaTerritoriale,ElencoZone,0),25)),0)</f>
        <v>0</v>
      </c>
      <c r="E135" s="107"/>
      <c r="F135" s="125">
        <f>PRODUCT(D134,D135)</f>
        <v>0</v>
      </c>
      <c r="G135" s="127"/>
      <c r="H135" s="137">
        <f>IF(Ou_PrimariaDefiniti="Sì",IF(ISERROR(MATCH(ZonaTerritoriale,ElencoZone,0))=TRUE,0,INDEX(MatriceParametri,MATCH(ZonaTerritoriale,ElencoZone,0),25)),0)</f>
        <v>0</v>
      </c>
      <c r="I135" s="107"/>
      <c r="J135" s="125">
        <f>PRODUCT(H134,H135)</f>
        <v>0</v>
      </c>
      <c r="K135" s="116"/>
      <c r="L135" s="18"/>
      <c r="M135" s="115"/>
      <c r="N135" s="105"/>
      <c r="O135"/>
    </row>
    <row r="136" spans="1:15" s="5" customFormat="1" ht="12.75" customHeight="1" x14ac:dyDescent="0.2">
      <c r="A136" s="14"/>
      <c r="B136" s="796" t="s">
        <v>82</v>
      </c>
      <c r="C136" s="797"/>
      <c r="D136" s="138">
        <f>IF(Ou_SecDefiniti="Sì",IF(ISERROR(MATCH(ZonaTerritoriale,ElencoZone,0))=TRUE,0,INDEX(MatriceParametri,MATCH(ZonaTerritoriale,ElencoZone,0)+1,25)),0)</f>
        <v>0</v>
      </c>
      <c r="E136" s="107"/>
      <c r="F136" s="125">
        <f>PRODUCT(D134,D136)</f>
        <v>0</v>
      </c>
      <c r="G136" s="18"/>
      <c r="H136" s="138">
        <f>IF(Ou_SecDefiniti="Sì",IF(ISERROR(MATCH(ZonaTerritoriale,ElencoZone,0))=TRUE,0,INDEX(MatriceParametri,MATCH(ZonaTerritoriale,ElencoZone,0)+1,25)),0)</f>
        <v>0</v>
      </c>
      <c r="I136" s="107"/>
      <c r="J136" s="125">
        <f>PRODUCT(H134,H136)</f>
        <v>0</v>
      </c>
      <c r="K136" s="116"/>
      <c r="L136" s="18"/>
      <c r="M136" s="115"/>
      <c r="N136" s="105"/>
      <c r="O136"/>
    </row>
    <row r="137" spans="1:15" s="9" customFormat="1" ht="12.75" customHeight="1" x14ac:dyDescent="0.2">
      <c r="A137" s="14"/>
      <c r="B137" s="796" t="s">
        <v>83</v>
      </c>
      <c r="C137" s="797"/>
      <c r="D137" s="140">
        <f>IF(ISERROR(MATCH(ZonaTerritoriale,ElencoZone,0))=TRUE,0,INDEX(MatriceParametri,MATCH(ZonaTerritoriale,ElencoZone,0)+2,25))</f>
        <v>0</v>
      </c>
      <c r="E137" s="107"/>
      <c r="F137" s="125">
        <f>PRODUCT(D134,D137)</f>
        <v>0</v>
      </c>
      <c r="G137" s="18"/>
      <c r="H137" s="140">
        <f>IF(ISERROR(MATCH(ZonaTerritoriale,ElencoZone,0))=TRUE,0,INDEX(MatriceParametri,MATCH(ZonaTerritoriale,ElencoZone,0)+2,25))</f>
        <v>0</v>
      </c>
      <c r="I137" s="107"/>
      <c r="J137" s="125">
        <f>PRODUCT(H134,H137)</f>
        <v>0</v>
      </c>
      <c r="K137" s="116"/>
      <c r="L137" s="18"/>
      <c r="M137" s="18"/>
      <c r="N137" s="105"/>
      <c r="O137" s="14"/>
    </row>
    <row r="138" spans="1:15" s="5" customFormat="1" ht="20.100000000000001" customHeight="1" x14ac:dyDescent="0.2">
      <c r="A138"/>
      <c r="B138" s="834" t="str">
        <f>Parametri_DestUsoPersonalizzazione13</f>
        <v>Destinazione ulteriore 5</v>
      </c>
      <c r="C138" s="835"/>
      <c r="D138" s="798">
        <f>Ou_UsoIniziale_Person5_ParVirt</f>
        <v>0</v>
      </c>
      <c r="E138" s="798"/>
      <c r="F138" s="798"/>
      <c r="G138" s="236"/>
      <c r="H138" s="798">
        <f>Ou_NuovaEd_Person5_ParVirt</f>
        <v>0</v>
      </c>
      <c r="I138" s="798"/>
      <c r="J138" s="798"/>
      <c r="K138" s="237"/>
      <c r="L138" s="236"/>
      <c r="M138" s="236"/>
      <c r="N138" s="44"/>
      <c r="O138"/>
    </row>
    <row r="139" spans="1:15" s="5" customFormat="1" ht="12.75" customHeight="1" x14ac:dyDescent="0.2">
      <c r="A139" s="14"/>
      <c r="B139" s="800" t="s">
        <v>81</v>
      </c>
      <c r="C139" s="801"/>
      <c r="D139" s="137">
        <f>IF(Ou_PrimariaDefiniti="Sì",IF(ISERROR(MATCH(ZonaTerritoriale,ElencoZone,0))=TRUE,0,INDEX(MatriceParametri,MATCH(ZonaTerritoriale,ElencoZone,0),27)),0)</f>
        <v>0</v>
      </c>
      <c r="E139" s="107"/>
      <c r="F139" s="125">
        <f>PRODUCT(D138,D139)</f>
        <v>0</v>
      </c>
      <c r="G139" s="127"/>
      <c r="H139" s="137">
        <f>IF(Ou_PrimariaDefiniti="Sì",IF(ISERROR(MATCH(ZonaTerritoriale,ElencoZone,0))=TRUE,0,INDEX(MatriceParametri,MATCH(ZonaTerritoriale,ElencoZone,0),27)),0)</f>
        <v>0</v>
      </c>
      <c r="I139" s="107"/>
      <c r="J139" s="125">
        <f>PRODUCT(H138,H139)</f>
        <v>0</v>
      </c>
      <c r="K139" s="116"/>
      <c r="L139" s="18"/>
      <c r="M139" s="115"/>
      <c r="N139" s="105"/>
      <c r="O139"/>
    </row>
    <row r="140" spans="1:15" s="5" customFormat="1" ht="12.75" customHeight="1" x14ac:dyDescent="0.2">
      <c r="A140" s="14"/>
      <c r="B140" s="796" t="s">
        <v>82</v>
      </c>
      <c r="C140" s="797"/>
      <c r="D140" s="138">
        <f>IF(Ou_SecDefiniti="Sì",IF(ISERROR(MATCH(ZonaTerritoriale,ElencoZone,0))=TRUE,0,INDEX(MatriceParametri,MATCH(ZonaTerritoriale,ElencoZone,0)+1,27)),0)</f>
        <v>0</v>
      </c>
      <c r="E140" s="107"/>
      <c r="F140" s="125">
        <f>PRODUCT(D138,D140)</f>
        <v>0</v>
      </c>
      <c r="G140" s="18"/>
      <c r="H140" s="138">
        <f>IF(Ou_SecDefiniti="Sì",IF(ISERROR(MATCH(ZonaTerritoriale,ElencoZone,0))=TRUE,0,INDEX(MatriceParametri,MATCH(ZonaTerritoriale,ElencoZone,0)+1,27)),0)</f>
        <v>0</v>
      </c>
      <c r="I140" s="107"/>
      <c r="J140" s="125">
        <f>PRODUCT(H138,H140)</f>
        <v>0</v>
      </c>
      <c r="K140" s="116"/>
      <c r="L140" s="18"/>
      <c r="M140" s="115"/>
      <c r="N140" s="105"/>
      <c r="O140"/>
    </row>
    <row r="141" spans="1:15" s="9" customFormat="1" ht="12.75" customHeight="1" x14ac:dyDescent="0.2">
      <c r="A141" s="14"/>
      <c r="B141" s="796" t="s">
        <v>83</v>
      </c>
      <c r="C141" s="797"/>
      <c r="D141" s="140">
        <f>IF(ISERROR(MATCH(ZonaTerritoriale,ElencoZone,0))=TRUE,0,INDEX(MatriceParametri,MATCH(ZonaTerritoriale,ElencoZone,0)+2,27))</f>
        <v>0</v>
      </c>
      <c r="E141" s="107"/>
      <c r="F141" s="125">
        <f>PRODUCT(D138,D141)</f>
        <v>0</v>
      </c>
      <c r="G141" s="18"/>
      <c r="H141" s="140">
        <f>IF(ISERROR(MATCH(ZonaTerritoriale,ElencoZone,0))=TRUE,0,INDEX(MatriceParametri,MATCH(ZonaTerritoriale,ElencoZone,0)+2,27))</f>
        <v>0</v>
      </c>
      <c r="I141" s="107"/>
      <c r="J141" s="125">
        <f>PRODUCT(H138,H141)</f>
        <v>0</v>
      </c>
      <c r="K141" s="116"/>
      <c r="L141" s="18"/>
      <c r="M141" s="18"/>
      <c r="N141" s="105"/>
      <c r="O141" s="14"/>
    </row>
    <row r="142" spans="1:15" s="5" customFormat="1" ht="16.5" customHeight="1" x14ac:dyDescent="0.2">
      <c r="A142" s="14"/>
      <c r="B142" s="106"/>
      <c r="C142" s="841" t="s">
        <v>249</v>
      </c>
      <c r="D142" s="841"/>
      <c r="E142" s="841"/>
      <c r="F142" s="841"/>
      <c r="G142" s="841" t="s">
        <v>250</v>
      </c>
      <c r="H142" s="841"/>
      <c r="I142" s="841"/>
      <c r="J142" s="841"/>
      <c r="K142" s="173"/>
      <c r="L142" s="173"/>
      <c r="M142" s="115"/>
      <c r="N142" s="105"/>
      <c r="O142"/>
    </row>
    <row r="143" spans="1:15" s="5" customFormat="1" ht="12.75" customHeight="1" x14ac:dyDescent="0.2">
      <c r="A143" s="14"/>
      <c r="B143" s="106"/>
      <c r="C143"/>
      <c r="D143" s="842" t="s">
        <v>81</v>
      </c>
      <c r="E143" s="797"/>
      <c r="F143" s="128">
        <f>ROUND(F91+F95+F99+F103+F107+F111+F115+F119+F123+F127+F131+F135+F139,2)</f>
        <v>0</v>
      </c>
      <c r="G143" s="18"/>
      <c r="H143" s="842" t="s">
        <v>81</v>
      </c>
      <c r="I143" s="797"/>
      <c r="J143" s="125">
        <f>ROUND(J91+J95+J99+J103+J107+J111+J115+J119+J123+J127+J131+J135+J139,2)</f>
        <v>0</v>
      </c>
      <c r="K143" s="116"/>
      <c r="L143" s="18"/>
      <c r="M143" s="18"/>
      <c r="N143" s="105"/>
      <c r="O143"/>
    </row>
    <row r="144" spans="1:15" s="5" customFormat="1" ht="12.75" customHeight="1" x14ac:dyDescent="0.2">
      <c r="A144" s="14"/>
      <c r="B144" s="106"/>
      <c r="C144"/>
      <c r="D144" s="842" t="s">
        <v>82</v>
      </c>
      <c r="E144" s="797"/>
      <c r="F144" s="143">
        <f>ROUND(F92+F96+F100+F104+F108+F112+F116+F120+F124+F128+F132+F136+F140,2)</f>
        <v>0</v>
      </c>
      <c r="G144" s="18"/>
      <c r="H144" s="842" t="s">
        <v>82</v>
      </c>
      <c r="I144" s="797"/>
      <c r="J144" s="126">
        <f>ROUND(J92+J96+J100+J104+J108+J112+J116+J120+J124+J128+J132+J136+J140,2)</f>
        <v>0</v>
      </c>
      <c r="K144" s="116"/>
      <c r="L144" s="18"/>
      <c r="M144" s="18"/>
      <c r="N144" s="105"/>
      <c r="O144"/>
    </row>
    <row r="145" spans="1:15" s="5" customFormat="1" ht="12.75" customHeight="1" x14ac:dyDescent="0.2">
      <c r="A145" s="14"/>
      <c r="B145" s="106"/>
      <c r="C145"/>
      <c r="D145" s="842" t="s">
        <v>83</v>
      </c>
      <c r="E145" s="797"/>
      <c r="F145" s="231">
        <f>ROUND(F93+F97+F101+F105+F109+F113+F117+F121+F125+F129+F133+F137+F141,2)</f>
        <v>0</v>
      </c>
      <c r="G145" s="18"/>
      <c r="H145" s="842" t="s">
        <v>83</v>
      </c>
      <c r="I145" s="797"/>
      <c r="J145" s="126">
        <f>ROUND(J93+J97+J101+J105+J109+J113+J117+J121+J125+J129+J133+J137+J141,2)</f>
        <v>0</v>
      </c>
      <c r="K145" s="116"/>
      <c r="L145" s="18"/>
      <c r="M145" s="115"/>
      <c r="N145" s="105"/>
      <c r="O145"/>
    </row>
    <row r="146" spans="1:15" s="5" customFormat="1" ht="12.75" customHeight="1" x14ac:dyDescent="0.2">
      <c r="A146" s="14"/>
      <c r="B146" s="106"/>
      <c r="C146"/>
      <c r="D146" s="141"/>
      <c r="E146" s="109"/>
      <c r="F146" s="51"/>
      <c r="G146" s="18"/>
      <c r="H146" s="141"/>
      <c r="I146" s="109"/>
      <c r="J146" s="51"/>
      <c r="K146" s="116"/>
      <c r="L146" s="18"/>
      <c r="M146" s="115"/>
      <c r="N146" s="105"/>
      <c r="O146"/>
    </row>
    <row r="147" spans="1:15" s="5" customFormat="1" ht="12.75" customHeight="1" x14ac:dyDescent="0.2">
      <c r="A147" s="14"/>
      <c r="B147" s="778" t="s">
        <v>282</v>
      </c>
      <c r="C147" s="785"/>
      <c r="D147" s="785"/>
      <c r="E147" s="785"/>
      <c r="F147" s="785"/>
      <c r="G147" s="785"/>
      <c r="H147" s="785"/>
      <c r="I147" s="785"/>
      <c r="J147" s="785"/>
      <c r="K147" s="779"/>
      <c r="L147" s="816">
        <f>IF(oneri_urb_prim_dest_finale-oneri_urb_prim_dest_iniziale&gt;0,oneri_urb_prim_dest_finale-oneri_urb_prim_dest_iniziale,0)</f>
        <v>0</v>
      </c>
      <c r="M147" s="817"/>
      <c r="N147" s="112"/>
      <c r="O147"/>
    </row>
    <row r="148" spans="1:15" s="5" customFormat="1" ht="12.75" customHeight="1" x14ac:dyDescent="0.2">
      <c r="A148" s="14"/>
      <c r="B148" s="776" t="s">
        <v>283</v>
      </c>
      <c r="C148" s="818"/>
      <c r="D148" s="818"/>
      <c r="E148" s="818"/>
      <c r="F148" s="818"/>
      <c r="G148" s="818"/>
      <c r="H148" s="818"/>
      <c r="I148" s="818"/>
      <c r="J148" s="818"/>
      <c r="K148" s="777"/>
      <c r="L148" s="816">
        <f>IF(oneri_urb_sec_dest_finale-oneri_urb_sec_dest_iniziale&gt;0,oneri_urb_sec_dest_finale-oneri_urb_sec_dest_iniziale,0)</f>
        <v>0</v>
      </c>
      <c r="M148" s="817"/>
      <c r="N148" s="112"/>
      <c r="O148"/>
    </row>
    <row r="149" spans="1:15" s="5" customFormat="1" ht="12.75" customHeight="1" x14ac:dyDescent="0.2">
      <c r="A149" s="14"/>
      <c r="B149" s="776" t="s">
        <v>248</v>
      </c>
      <c r="C149" s="818"/>
      <c r="D149" s="818"/>
      <c r="E149" s="818"/>
      <c r="F149" s="818"/>
      <c r="G149" s="818"/>
      <c r="H149" s="818"/>
      <c r="I149" s="818"/>
      <c r="J149" s="818"/>
      <c r="K149" s="777"/>
      <c r="L149" s="816">
        <f>smalt_rifiuti_dest_finale-smalt_rifiuti_dest_iniziale</f>
        <v>0</v>
      </c>
      <c r="M149" s="817"/>
      <c r="N149" s="112"/>
      <c r="O149"/>
    </row>
    <row r="150" spans="1:15" s="5" customFormat="1" ht="12.75" customHeight="1" x14ac:dyDescent="0.2">
      <c r="A150" s="14"/>
      <c r="B150" s="106"/>
      <c r="C150"/>
      <c r="D150" s="141"/>
      <c r="E150" s="109"/>
      <c r="F150" s="51"/>
      <c r="G150" s="18"/>
      <c r="H150" s="141"/>
      <c r="I150" s="109"/>
      <c r="J150" s="51"/>
      <c r="K150" s="116"/>
      <c r="L150" s="18"/>
      <c r="M150" s="115"/>
      <c r="N150" s="105"/>
      <c r="O150"/>
    </row>
    <row r="151" spans="1:15" s="9" customFormat="1" ht="15" customHeight="1" x14ac:dyDescent="0.2">
      <c r="A151" s="14"/>
      <c r="B151" s="811" t="s">
        <v>267</v>
      </c>
      <c r="C151" s="812"/>
      <c r="D151" s="812"/>
      <c r="E151" s="812"/>
      <c r="F151" s="812"/>
      <c r="G151" s="812"/>
      <c r="H151" s="812"/>
      <c r="I151" s="812"/>
      <c r="J151" s="812"/>
      <c r="K151" s="813"/>
      <c r="L151" s="809">
        <f>IF(ImportoOneriUrb1_NuovaDest+ImportoOneriUrb2_NuovaDest&gt;0,ImportoOneriUrb1_NuovaDest+ImportoOneriUrb2_NuovaDest,0)</f>
        <v>0</v>
      </c>
      <c r="M151" s="810"/>
      <c r="N151" s="112"/>
      <c r="O151" s="14"/>
    </row>
    <row r="152" spans="1:15" s="5" customFormat="1" ht="15" customHeight="1" x14ac:dyDescent="0.2">
      <c r="A152" s="14"/>
      <c r="B152" s="811" t="s">
        <v>248</v>
      </c>
      <c r="C152" s="812"/>
      <c r="D152" s="812"/>
      <c r="E152" s="812"/>
      <c r="F152" s="812"/>
      <c r="G152" s="812"/>
      <c r="H152" s="812"/>
      <c r="I152" s="812"/>
      <c r="J152" s="812"/>
      <c r="K152" s="813"/>
      <c r="L152" s="809">
        <f>IF(smalt_rifiuti_dest_finale-smalt_rifiuti_dest_iniziale&gt;0,smalt_rifiuti_dest_finale-smalt_rifiuti_dest_iniziale,0)</f>
        <v>0</v>
      </c>
      <c r="M152" s="810"/>
      <c r="N152" s="105"/>
      <c r="O152"/>
    </row>
    <row r="153" spans="1:15" s="9" customFormat="1" ht="12.75" customHeight="1" thickBot="1" x14ac:dyDescent="0.25">
      <c r="A153" s="14"/>
      <c r="B153" s="164"/>
      <c r="C153" s="165"/>
      <c r="D153" s="165"/>
      <c r="E153" s="165"/>
      <c r="F153" s="165"/>
      <c r="G153" s="166"/>
      <c r="H153" s="166"/>
      <c r="I153" s="114"/>
      <c r="J153" s="167"/>
      <c r="K153" s="167"/>
      <c r="L153" s="114"/>
      <c r="M153" s="168"/>
      <c r="N153" s="151"/>
      <c r="O153" s="14"/>
    </row>
    <row r="154" spans="1:15" s="9" customFormat="1" ht="15" customHeight="1" thickBot="1" x14ac:dyDescent="0.25">
      <c r="A154" s="14"/>
      <c r="B154" s="814" t="s">
        <v>77</v>
      </c>
      <c r="C154" s="814"/>
      <c r="D154" s="814"/>
      <c r="E154" s="814"/>
      <c r="F154" s="814"/>
      <c r="G154" s="814"/>
      <c r="H154" s="814"/>
      <c r="I154" s="814"/>
      <c r="J154" s="814"/>
      <c r="K154" s="815"/>
      <c r="L154" s="807">
        <f>ImportoOneriUrbanizzazione+ImportoSmaltRifiuti_NuovaDest+ImportoOneriUrbanizzazione_NuovaDest</f>
        <v>0</v>
      </c>
      <c r="M154" s="808"/>
      <c r="N154" s="155"/>
      <c r="O154" s="14"/>
    </row>
    <row r="155" spans="1:15" s="5" customFormat="1" ht="16.5" customHeight="1" thickBot="1" x14ac:dyDescent="0.25">
      <c r="A155" s="14"/>
      <c r="B155" s="18"/>
      <c r="C155" s="19"/>
      <c r="D155" s="20"/>
      <c r="E155" s="21"/>
      <c r="F155" s="20"/>
      <c r="G155" s="18"/>
      <c r="H155" s="18"/>
      <c r="I155" s="18"/>
      <c r="J155" s="18"/>
      <c r="K155" s="18"/>
      <c r="L155" s="18"/>
      <c r="M155" s="18"/>
      <c r="N155" s="14"/>
      <c r="O155"/>
    </row>
    <row r="156" spans="1:15" s="7" customFormat="1" ht="15" customHeight="1" x14ac:dyDescent="0.25">
      <c r="A156" s="25"/>
      <c r="B156" s="788" t="s">
        <v>251</v>
      </c>
      <c r="C156" s="789"/>
      <c r="D156" s="789"/>
      <c r="E156" s="789"/>
      <c r="F156" s="789"/>
      <c r="G156" s="789"/>
      <c r="H156" s="789"/>
      <c r="I156" s="789"/>
      <c r="J156" s="789"/>
      <c r="K156" s="789"/>
      <c r="L156" s="789"/>
      <c r="M156" s="789"/>
      <c r="N156" s="790"/>
      <c r="O156" s="12"/>
    </row>
    <row r="157" spans="1:15" s="7" customFormat="1" ht="15" customHeight="1" x14ac:dyDescent="0.25">
      <c r="A157" s="25"/>
      <c r="B157" s="246"/>
      <c r="C157" s="109"/>
      <c r="D157" s="18"/>
      <c r="E157" s="18"/>
      <c r="F157" s="18"/>
      <c r="G157" s="18"/>
      <c r="H157" s="18"/>
      <c r="I157" s="18"/>
      <c r="J157" s="18"/>
      <c r="K157" s="18"/>
      <c r="L157" s="18"/>
      <c r="M157" s="18"/>
      <c r="N157" s="112"/>
      <c r="O157" s="12"/>
    </row>
    <row r="158" spans="1:15" s="7" customFormat="1" ht="15" customHeight="1" x14ac:dyDescent="0.25">
      <c r="A158" s="25"/>
      <c r="B158" s="843" t="s">
        <v>144</v>
      </c>
      <c r="C158" s="844"/>
      <c r="D158" s="844"/>
      <c r="E158" s="844"/>
      <c r="F158" s="844"/>
      <c r="G158" s="844"/>
      <c r="H158" s="844"/>
      <c r="I158" s="844"/>
      <c r="J158" s="844"/>
      <c r="K158" s="844"/>
      <c r="L158" s="844"/>
      <c r="M158" s="844"/>
      <c r="N158" s="845"/>
      <c r="O158" s="12"/>
    </row>
    <row r="159" spans="1:15" s="8" customFormat="1" ht="15" customHeight="1" x14ac:dyDescent="0.25">
      <c r="A159" s="22"/>
      <c r="B159" s="106"/>
      <c r="C159" s="109"/>
      <c r="D159" s="806" t="s">
        <v>5</v>
      </c>
      <c r="E159" s="806"/>
      <c r="F159" s="806"/>
      <c r="G159" s="18"/>
      <c r="H159" s="806" t="s">
        <v>0</v>
      </c>
      <c r="I159" s="806"/>
      <c r="J159" s="806"/>
      <c r="K159" s="102"/>
      <c r="L159" s="22"/>
      <c r="M159" s="148"/>
      <c r="N159" s="104"/>
      <c r="O159" s="13"/>
    </row>
    <row r="160" spans="1:15" s="9" customFormat="1" ht="12.75" customHeight="1" x14ac:dyDescent="0.2">
      <c r="A160" s="14"/>
      <c r="B160" s="795" t="s">
        <v>1</v>
      </c>
      <c r="C160" s="117" t="s">
        <v>85</v>
      </c>
      <c r="D160" s="152">
        <f ca="1">CostoCost_NuovaCost_ContrBaseMinistAliq</f>
        <v>6</v>
      </c>
      <c r="E160" s="21" t="s">
        <v>2</v>
      </c>
      <c r="F160" s="154">
        <f ca="1">(CostoCost_NuovaCostResid_SupCompl*DetClasse_CostoMaggioratoNuovaEdif)*CostoCost_NuovaCost_ContrBaseMinistAliq/100</f>
        <v>0</v>
      </c>
      <c r="G160" s="117" t="s">
        <v>85</v>
      </c>
      <c r="H160" s="152">
        <f ca="1">CostoCost_Rist_ContrBaseMinistAliq</f>
        <v>5</v>
      </c>
      <c r="I160" s="21" t="s">
        <v>2</v>
      </c>
      <c r="J160" s="154">
        <f ca="1">(CostoCost_RistResid_SupCompl*DetClasse_CostoMaggioratoNuovaEdif)*CostoCost_Rist_ContrBaseMinistAliq/100</f>
        <v>0</v>
      </c>
      <c r="K160" s="170"/>
      <c r="L160" s="799">
        <f ca="1">ROUND(SUM(F160,F161,J160,J161),2)</f>
        <v>0</v>
      </c>
      <c r="M160" s="799"/>
      <c r="N160" s="105"/>
      <c r="O160" s="15"/>
    </row>
    <row r="161" spans="1:15" s="9" customFormat="1" ht="12.75" customHeight="1" x14ac:dyDescent="0.2">
      <c r="A161" s="14"/>
      <c r="B161" s="795"/>
      <c r="C161" s="109" t="s">
        <v>4</v>
      </c>
      <c r="D161" s="152">
        <f ca="1">CostoCost_NuovaCost_ContrComEstResAliq</f>
        <v>6</v>
      </c>
      <c r="E161" s="21" t="s">
        <v>2</v>
      </c>
      <c r="F161" s="154">
        <f ca="1">CostoCostFinale_NuovaCostResid_ComputoEstim</f>
        <v>0</v>
      </c>
      <c r="G161" s="449" t="s">
        <v>4</v>
      </c>
      <c r="H161" s="522">
        <f>CostoCost_Rist_ContrComEstComAliq</f>
        <v>0.1</v>
      </c>
      <c r="I161" s="448" t="s">
        <v>2</v>
      </c>
      <c r="J161" s="154">
        <f ca="1">'Costo Costruzione'!M26</f>
        <v>0</v>
      </c>
      <c r="K161" s="452"/>
      <c r="L161" s="799"/>
      <c r="M161" s="799"/>
      <c r="N161" s="105"/>
      <c r="O161" s="15"/>
    </row>
    <row r="162" spans="1:15" s="9" customFormat="1" ht="12.75" customHeight="1" x14ac:dyDescent="0.2">
      <c r="A162" s="14"/>
      <c r="B162" s="821" t="s">
        <v>149</v>
      </c>
      <c r="C162" s="551" t="s">
        <v>85</v>
      </c>
      <c r="D162" s="152">
        <f ca="1">CostoCost_NuovaCost_ContrBaseMinistAliq</f>
        <v>6</v>
      </c>
      <c r="E162" s="548" t="s">
        <v>2</v>
      </c>
      <c r="F162" s="154">
        <f ca="1">(CostoCost_NuovaCostComm_SupCompl*DetClasse_CostoMaggioratoNuovaEdif)*CostoCost_NuovaCost_ContrBaseMinistAliq/100</f>
        <v>0</v>
      </c>
      <c r="G162" s="117" t="s">
        <v>85</v>
      </c>
      <c r="H162" s="152">
        <f ca="1">CostoCost_Rist_ContrBaseMinistAliq</f>
        <v>5</v>
      </c>
      <c r="I162" s="21" t="s">
        <v>2</v>
      </c>
      <c r="J162" s="451">
        <f ca="1">(CostoCost_RistComm_SupCompl*DetClasse_CostoMaggioratoNuovaEdif)*CostoCost_Rist_ContrBaseMinistAliq/100</f>
        <v>0</v>
      </c>
      <c r="K162" s="552"/>
      <c r="L162" s="799">
        <f ca="1">ROUND(SUM(F162,F163,J162,J163),2)</f>
        <v>0</v>
      </c>
      <c r="M162" s="799"/>
      <c r="N162" s="105"/>
      <c r="O162" s="15"/>
    </row>
    <row r="163" spans="1:15" s="9" customFormat="1" ht="12.75" customHeight="1" x14ac:dyDescent="0.2">
      <c r="A163" s="14"/>
      <c r="B163" s="778"/>
      <c r="C163" s="547" t="s">
        <v>4</v>
      </c>
      <c r="D163" s="522">
        <f>CostoCost_NuovaCost_ContrComEstComAliq</f>
        <v>0.1</v>
      </c>
      <c r="E163" s="21" t="s">
        <v>2</v>
      </c>
      <c r="F163" s="154">
        <f>CostoCostFinale_NuovaCostComm_ComputoEstim</f>
        <v>0</v>
      </c>
      <c r="G163" s="550" t="s">
        <v>4</v>
      </c>
      <c r="H163" s="523">
        <f>CostoCost_Rist_ContrComEstComAliq</f>
        <v>0.1</v>
      </c>
      <c r="I163" s="156" t="s">
        <v>2</v>
      </c>
      <c r="J163" s="451">
        <f>'Costo Costruzione'!M27</f>
        <v>0</v>
      </c>
      <c r="K163" s="450"/>
      <c r="L163" s="799"/>
      <c r="M163" s="799"/>
      <c r="N163" s="105"/>
      <c r="O163" s="16"/>
    </row>
    <row r="164" spans="1:15" s="9" customFormat="1" ht="15" hidden="1" customHeight="1" x14ac:dyDescent="0.2">
      <c r="A164" s="14"/>
      <c r="B164" s="52" t="s">
        <v>86</v>
      </c>
      <c r="C164" s="118" t="s">
        <v>4</v>
      </c>
      <c r="D164" s="153">
        <v>0.1</v>
      </c>
      <c r="E164" s="21" t="s">
        <v>3</v>
      </c>
      <c r="F164" s="154">
        <v>0</v>
      </c>
      <c r="G164" s="109"/>
      <c r="H164" s="120"/>
      <c r="I164" s="21"/>
      <c r="J164" s="121"/>
      <c r="K164" s="121"/>
      <c r="L164" s="119"/>
      <c r="M164" s="175">
        <f>SUM(F164,J164)</f>
        <v>0</v>
      </c>
      <c r="N164" s="105"/>
      <c r="O164" s="17"/>
    </row>
    <row r="165" spans="1:15" s="9" customFormat="1" ht="15" hidden="1" customHeight="1" x14ac:dyDescent="0.2">
      <c r="A165" s="14"/>
      <c r="B165" s="52" t="s">
        <v>91</v>
      </c>
      <c r="C165" s="118" t="s">
        <v>4</v>
      </c>
      <c r="D165" s="153">
        <v>0.1</v>
      </c>
      <c r="E165" s="21" t="s">
        <v>3</v>
      </c>
      <c r="F165" s="154">
        <v>0</v>
      </c>
      <c r="G165" s="109"/>
      <c r="H165" s="120"/>
      <c r="I165" s="21"/>
      <c r="J165" s="121"/>
      <c r="K165" s="121"/>
      <c r="L165" s="122"/>
      <c r="M165" s="176">
        <f>SUM(F165,J165)</f>
        <v>0</v>
      </c>
      <c r="N165" s="105"/>
      <c r="O165" s="17"/>
    </row>
    <row r="166" spans="1:15" s="9" customFormat="1" ht="15" hidden="1" customHeight="1" x14ac:dyDescent="0.2">
      <c r="A166" s="14"/>
      <c r="B166" s="52" t="s">
        <v>92</v>
      </c>
      <c r="C166" s="118" t="s">
        <v>4</v>
      </c>
      <c r="D166" s="153">
        <v>0.1</v>
      </c>
      <c r="E166" s="21" t="s">
        <v>3</v>
      </c>
      <c r="F166" s="154">
        <v>0</v>
      </c>
      <c r="G166" s="109"/>
      <c r="H166" s="120"/>
      <c r="I166" s="21"/>
      <c r="J166" s="121"/>
      <c r="K166" s="121"/>
      <c r="L166" s="122"/>
      <c r="M166" s="177">
        <f>SUM(F166,J166)</f>
        <v>0</v>
      </c>
      <c r="N166" s="105"/>
      <c r="O166" s="17"/>
    </row>
    <row r="167" spans="1:15" s="9" customFormat="1" ht="12.75" customHeight="1" x14ac:dyDescent="0.2">
      <c r="A167" s="14"/>
      <c r="B167" s="819" t="s">
        <v>109</v>
      </c>
      <c r="C167" s="117" t="s">
        <v>85</v>
      </c>
      <c r="D167" s="152">
        <f ca="1">CostoCost_Sot_ContrBaseMinistAliq</f>
        <v>6</v>
      </c>
      <c r="E167" s="548" t="s">
        <v>2</v>
      </c>
      <c r="F167" s="154">
        <f ca="1">CostoCost_Sottotetti_ContrBaseMinistValore</f>
        <v>0</v>
      </c>
      <c r="G167" s="822"/>
      <c r="H167" s="823"/>
      <c r="I167" s="823"/>
      <c r="J167" s="823"/>
      <c r="K167" s="824"/>
      <c r="L167" s="799">
        <f ca="1">ROUND(SUM(F167,F168),2)</f>
        <v>0</v>
      </c>
      <c r="M167" s="799"/>
      <c r="N167" s="105"/>
      <c r="O167" s="15"/>
    </row>
    <row r="168" spans="1:15" s="9" customFormat="1" ht="12.75" customHeight="1" x14ac:dyDescent="0.2">
      <c r="A168" s="14"/>
      <c r="B168" s="820"/>
      <c r="C168" s="547" t="s">
        <v>4</v>
      </c>
      <c r="D168" s="152">
        <f ca="1">CostoCost_Sot_ContrBaseMinistAliq</f>
        <v>6</v>
      </c>
      <c r="E168" s="549" t="s">
        <v>2</v>
      </c>
      <c r="F168" s="154">
        <f ca="1">CostoCostFinale_Sottotetti_ComputoEstim</f>
        <v>0</v>
      </c>
      <c r="G168" s="825"/>
      <c r="H168" s="826"/>
      <c r="I168" s="826"/>
      <c r="J168" s="826"/>
      <c r="K168" s="827"/>
      <c r="L168" s="799"/>
      <c r="M168" s="799"/>
      <c r="N168" s="105"/>
      <c r="O168" s="15"/>
    </row>
    <row r="169" spans="1:15" s="557" customFormat="1" ht="25.5" customHeight="1" x14ac:dyDescent="0.2">
      <c r="A169" s="553"/>
      <c r="B169" s="802" t="s">
        <v>180</v>
      </c>
      <c r="C169" s="803"/>
      <c r="D169" s="804"/>
      <c r="E169" s="804"/>
      <c r="F169" s="804"/>
      <c r="G169" s="804"/>
      <c r="H169" s="804"/>
      <c r="I169" s="804"/>
      <c r="J169" s="804"/>
      <c r="K169" s="805"/>
      <c r="L169" s="554" t="str">
        <f ca="1">IF(CC_AltriCosti_ValoreMaggCCRecSott&gt;0,IF(Parametri_MaggiorazioneSottotettiCC&gt;0, TEXT(Parametri_MaggiorazioneSottotettiCC,"0%"),"Nessuna"),"")</f>
        <v/>
      </c>
      <c r="M169" s="555">
        <f ca="1">CostoCost_Sott_ContEscMagg*Parametri_MaggiorazioneSottotettiCC</f>
        <v>0</v>
      </c>
      <c r="N169" s="556"/>
      <c r="O169" s="553"/>
    </row>
    <row r="170" spans="1:15" s="9" customFormat="1" ht="12.75" customHeight="1" x14ac:dyDescent="0.2">
      <c r="A170" s="14"/>
      <c r="B170" s="776" t="s">
        <v>182</v>
      </c>
      <c r="C170" s="818"/>
      <c r="D170" s="818"/>
      <c r="E170" s="818"/>
      <c r="F170" s="818"/>
      <c r="G170" s="818"/>
      <c r="H170" s="818"/>
      <c r="I170" s="818"/>
      <c r="J170" s="818"/>
      <c r="K170" s="777"/>
      <c r="L170" s="202" t="str">
        <f>IF(CC_RiduzionePianoCasa&gt;0,IF(Par_PianoCasa_RidCC&gt;0, TEXT(Par_PianoCasa_RidCC,"0%")&amp;" a dedurre","Nessuna"),"")</f>
        <v/>
      </c>
      <c r="M170" s="64">
        <f>IF(PianoCasa="Sì",((CC_Residenziale+CC_CommercioTerziario+cc_CostoCostRecSottProg+CC_AltriCosti_ValoreMaggCCRecSott)*Par_PianoCasa_RidCC),0 )</f>
        <v>0</v>
      </c>
      <c r="N170" s="157"/>
      <c r="O170" s="14"/>
    </row>
    <row r="171" spans="1:15" s="9" customFormat="1" ht="12.75" customHeight="1" x14ac:dyDescent="0.2">
      <c r="A171" s="14"/>
      <c r="B171" s="776" t="s">
        <v>351</v>
      </c>
      <c r="C171" s="818"/>
      <c r="D171" s="818"/>
      <c r="E171" s="818"/>
      <c r="F171" s="818"/>
      <c r="G171" s="818"/>
      <c r="H171" s="818"/>
      <c r="I171" s="818"/>
      <c r="J171" s="818"/>
      <c r="K171" s="777"/>
      <c r="L171" s="202" t="str">
        <f>IF(CC_RiduzioneDensificazione&gt;0,IF(Par_Rid_Densificazione_CC&gt;0, TEXT(Par_Rid_Densificazione_CC,"0%")&amp;" a dedurre","Nessuna"),"")</f>
        <v/>
      </c>
      <c r="M171" s="64">
        <f>IF(Densificazione="Sì",((CC_Residenziale+CC_CommercioTerziario+cc_CostoCostRecSottProg+CC_AltriCosti_ValoreMaggCCRecSott)*Par_Rid_Densificazione_CC),0 )</f>
        <v>0</v>
      </c>
      <c r="N171" s="174"/>
      <c r="O171" s="14"/>
    </row>
    <row r="172" spans="1:15" s="9" customFormat="1" ht="12.75" customHeight="1" x14ac:dyDescent="0.2">
      <c r="A172" s="14"/>
      <c r="B172" s="776" t="s">
        <v>387</v>
      </c>
      <c r="C172" s="818"/>
      <c r="D172" s="818"/>
      <c r="E172" s="818"/>
      <c r="F172" s="818"/>
      <c r="G172" s="818"/>
      <c r="H172" s="818"/>
      <c r="I172" s="818"/>
      <c r="J172" s="818"/>
      <c r="K172" s="777"/>
      <c r="L172" s="202" t="str">
        <f>IF(ConsumoSuolo&lt;&gt;"No",IF(ConsumoSuolo&gt;0, TEXT(ConsumoSuolo,"0%"),"Nessuna"),"")</f>
        <v/>
      </c>
      <c r="M172" s="64">
        <f>IF(ConsumoSuolo&lt;&gt;"No",(CC_Residenziale+CC_CommercioTerziario+cc_CostoCostRecSottProg)*ConsumoSuolo,0)</f>
        <v>0</v>
      </c>
      <c r="N172" s="174"/>
      <c r="O172" s="14"/>
    </row>
    <row r="173" spans="1:15" s="9" customFormat="1" ht="12.75" customHeight="1" x14ac:dyDescent="0.2">
      <c r="A173" s="14"/>
      <c r="B173" s="776" t="s">
        <v>157</v>
      </c>
      <c r="C173" s="818"/>
      <c r="D173" s="818"/>
      <c r="E173" s="818"/>
      <c r="F173" s="818"/>
      <c r="G173" s="818"/>
      <c r="H173" s="818"/>
      <c r="I173" s="818"/>
      <c r="J173" s="818"/>
      <c r="K173" s="777"/>
      <c r="L173" s="515" t="str">
        <f>IF(CC_Corrisposto&gt;0," a dedurre","")</f>
        <v/>
      </c>
      <c r="M173" s="513">
        <f>CostoCostr_NuovaEdif_corrisposto_concessione_cong+CostoCostr_NuovaEdif_corrisposto_varianti+CostoCostr_Ristrutt_corrisposto_concessione_cong+CostoCostr_Ristrutt_corrisposto_varianti</f>
        <v>0</v>
      </c>
      <c r="N173" s="174"/>
      <c r="O173" s="15"/>
    </row>
    <row r="174" spans="1:15" s="9" customFormat="1" ht="15" customHeight="1" x14ac:dyDescent="0.2">
      <c r="A174" s="14"/>
      <c r="B174" s="870" t="s">
        <v>105</v>
      </c>
      <c r="C174" s="871"/>
      <c r="D174" s="871"/>
      <c r="E174" s="871"/>
      <c r="F174" s="871"/>
      <c r="G174" s="871"/>
      <c r="H174" s="871"/>
      <c r="I174" s="871"/>
      <c r="J174" s="871"/>
      <c r="K174" s="872"/>
      <c r="L174" s="858">
        <f ca="1">IF((CC_Residenziale+CC_CommercioTerziario+cc_CostoCostRecSottProg+CC_AltriCosti_ValoreMaggCCRecSott-CC_RiduzionePianoCasa-CC_RiduzioneDensificazione+CC_MaggConsumoSuolo-CC_Corrisposto)&gt;0,CC_Residenziale+CC_CommercioTerziario+cc_CostoCostRecSottProg+CC_AltriCosti_ValoreMaggCCRecSott-CC_RiduzionePianoCasa-CC_RiduzioneDensificazione+CC_MaggConsumoSuolo-CC_Corrisposto,0)</f>
        <v>0</v>
      </c>
      <c r="M174" s="859"/>
      <c r="N174" s="105"/>
      <c r="O174" s="14"/>
    </row>
    <row r="175" spans="1:15" s="9" customFormat="1" ht="12.75" customHeight="1" x14ac:dyDescent="0.2">
      <c r="A175" s="14"/>
      <c r="B175" s="243"/>
      <c r="C175" s="172"/>
      <c r="D175" s="172"/>
      <c r="E175" s="172"/>
      <c r="F175" s="172"/>
      <c r="G175" s="172"/>
      <c r="H175" s="172"/>
      <c r="I175" s="172"/>
      <c r="J175" s="244"/>
      <c r="K175" s="172"/>
      <c r="L175" s="245"/>
      <c r="M175" s="245"/>
      <c r="N175" s="105"/>
      <c r="O175" s="14"/>
    </row>
    <row r="176" spans="1:15" s="7" customFormat="1" ht="12.75" customHeight="1" x14ac:dyDescent="0.25">
      <c r="A176" s="25"/>
      <c r="B176" s="843" t="s">
        <v>142</v>
      </c>
      <c r="C176" s="844"/>
      <c r="D176" s="844"/>
      <c r="E176" s="844"/>
      <c r="F176" s="844"/>
      <c r="G176" s="844"/>
      <c r="H176" s="844"/>
      <c r="I176" s="844"/>
      <c r="J176" s="844"/>
      <c r="K176" s="844"/>
      <c r="L176" s="844"/>
      <c r="M176" s="844"/>
      <c r="N176" s="845"/>
      <c r="O176" s="12"/>
    </row>
    <row r="177" spans="1:15" s="5" customFormat="1" ht="12.75" customHeight="1" x14ac:dyDescent="0.2">
      <c r="A177" s="14"/>
      <c r="B177" s="860" t="s">
        <v>127</v>
      </c>
      <c r="C177" s="861"/>
      <c r="D177" s="861"/>
      <c r="E177" s="861"/>
      <c r="F177" s="861"/>
      <c r="G177" s="861"/>
      <c r="H177" s="861"/>
      <c r="I177" s="861"/>
      <c r="J177" s="861"/>
      <c r="K177" s="862"/>
      <c r="L177" s="816">
        <f>CostoCostProg_ContributoDovuto</f>
        <v>0</v>
      </c>
      <c r="M177" s="817"/>
      <c r="N177" s="124"/>
      <c r="O177"/>
    </row>
    <row r="178" spans="1:15" s="5" customFormat="1" ht="12.75" customHeight="1" x14ac:dyDescent="0.2">
      <c r="A178" s="14"/>
      <c r="B178" s="873" t="s">
        <v>143</v>
      </c>
      <c r="C178" s="874"/>
      <c r="D178" s="874"/>
      <c r="E178" s="874"/>
      <c r="F178" s="874"/>
      <c r="G178" s="874"/>
      <c r="H178" s="874"/>
      <c r="I178" s="874"/>
      <c r="J178" s="874"/>
      <c r="K178" s="875"/>
      <c r="L178" s="830">
        <f>CostoCostStatoFatto_ContributoDovuto</f>
        <v>0</v>
      </c>
      <c r="M178" s="830"/>
      <c r="N178" s="112"/>
      <c r="O178"/>
    </row>
    <row r="179" spans="1:15" s="9" customFormat="1" ht="12.75" customHeight="1" x14ac:dyDescent="0.2">
      <c r="A179" s="14"/>
      <c r="B179" s="776" t="s">
        <v>182</v>
      </c>
      <c r="C179" s="818"/>
      <c r="D179" s="818"/>
      <c r="E179" s="818"/>
      <c r="F179" s="818"/>
      <c r="G179" s="818"/>
      <c r="H179" s="818"/>
      <c r="I179" s="818"/>
      <c r="J179" s="818"/>
      <c r="K179" s="777"/>
      <c r="L179" s="202" t="str">
        <f>IF(CC_RiduzionePianoCasa_StFatto_Prog&gt;0,IF(Par_PianoCasa_RidCC&gt;0, TEXT(Par_PianoCasa_RidCC,"0%")&amp;" a dedurre","Nessuna"),"")</f>
        <v/>
      </c>
      <c r="M179" s="64">
        <f>IF(PianoCasa="Sì",((CostoCostProg_ContributoDovuto-CostoCostStatoFatto_ContributoDovuto)*Par_PianoCasa_Rid),0 )</f>
        <v>0</v>
      </c>
      <c r="N179" s="157"/>
      <c r="O179" s="14"/>
    </row>
    <row r="180" spans="1:15" s="9" customFormat="1" ht="12.75" customHeight="1" x14ac:dyDescent="0.2">
      <c r="A180" s="14"/>
      <c r="B180" s="776" t="s">
        <v>351</v>
      </c>
      <c r="C180" s="818"/>
      <c r="D180" s="818"/>
      <c r="E180" s="818"/>
      <c r="F180" s="818"/>
      <c r="G180" s="818"/>
      <c r="H180" s="818"/>
      <c r="I180" s="818"/>
      <c r="J180" s="818"/>
      <c r="K180" s="777"/>
      <c r="L180" s="202" t="str">
        <f>IF(CC_RiduzioneDensificazione_StFatto_Prog&gt;0,IF(Par_Rid_Densificazione_CC&gt;0, TEXT(Par_Rid_Densificazione_CC,"0%")&amp;" a dedurre","Nessuna"),"")</f>
        <v/>
      </c>
      <c r="M180" s="64">
        <f>IF(Densificazione="Sì",((CostoCostProg_ContributoDovuto-CostoCostStatoFatto_ContributoDovuto)*Par_Rid_Densificazione_CC),0 )</f>
        <v>0</v>
      </c>
      <c r="N180" s="174"/>
      <c r="O180" s="14"/>
    </row>
    <row r="181" spans="1:15" s="9" customFormat="1" ht="12.75" customHeight="1" x14ac:dyDescent="0.2">
      <c r="A181" s="14"/>
      <c r="B181" s="776" t="s">
        <v>387</v>
      </c>
      <c r="C181" s="818"/>
      <c r="D181" s="818"/>
      <c r="E181" s="818"/>
      <c r="F181" s="818"/>
      <c r="G181" s="818"/>
      <c r="H181" s="818"/>
      <c r="I181" s="818"/>
      <c r="J181" s="818"/>
      <c r="K181" s="777"/>
      <c r="L181" s="202" t="str">
        <f>IF(ConsumoSuolo&lt;&gt;"No",IF(ConsumoSuolo&gt;0, TEXT(ConsumoSuolo,"0%"),"Nessuna"),"")</f>
        <v/>
      </c>
      <c r="M181" s="64">
        <f>IF(ConsumoSuolo&lt;&gt;"No",(IF(L177-L178&gt;0,L177-L178,0))*ConsumoSuolo,0)</f>
        <v>0</v>
      </c>
      <c r="N181" s="174"/>
      <c r="O181" s="14"/>
    </row>
    <row r="182" spans="1:15" s="5" customFormat="1" ht="12.75" customHeight="1" x14ac:dyDescent="0.2">
      <c r="A182" s="14"/>
      <c r="B182" s="873" t="s">
        <v>157</v>
      </c>
      <c r="C182" s="874"/>
      <c r="D182" s="874"/>
      <c r="E182" s="874"/>
      <c r="F182" s="874"/>
      <c r="G182" s="874"/>
      <c r="H182" s="874"/>
      <c r="I182" s="874"/>
      <c r="J182" s="874"/>
      <c r="K182" s="875"/>
      <c r="L182" s="201" t="str">
        <f>IF(CC_Corrisposto&gt;0," a dedurre","")</f>
        <v/>
      </c>
      <c r="M182" s="64">
        <f>ROUND(CostoCostr_NuovaEdif_Prog_corrisposto_concessione_cong+CostoCostr_NuovaEdif_Prog_corrisposto_varianti+CostoCostr_NuovaEdif_StFatto_corrisposto_concessione_cong+CostoCostr_NuovaEdif_StFatto_corrisposto_varianti,2)</f>
        <v>0</v>
      </c>
      <c r="N182" s="112"/>
      <c r="O182"/>
    </row>
    <row r="183" spans="1:15" s="5" customFormat="1" ht="15" customHeight="1" x14ac:dyDescent="0.2">
      <c r="A183" s="14"/>
      <c r="B183" s="870" t="s">
        <v>105</v>
      </c>
      <c r="C183" s="871"/>
      <c r="D183" s="871"/>
      <c r="E183" s="871"/>
      <c r="F183" s="871"/>
      <c r="G183" s="871"/>
      <c r="H183" s="871"/>
      <c r="I183" s="871"/>
      <c r="J183" s="871"/>
      <c r="K183" s="872"/>
      <c r="L183" s="857">
        <f>IF((CostoCostProg_ContributoDovuto-CostoCostStatoFatto_ContributoDovuto-CostoCostr_Prog_StFatto_corrisposto-CC_RiduzionePianoCasa_StFatto_Prog-CC_RiduzioneDensificazione_StFatto_Prog+CC_StFatto_MaggConsumoSuolo)&gt;0,CostoCostProg_ContributoDovuto-CostoCostStatoFatto_ContributoDovuto-CostoCostr_Prog_StFatto_corrisposto-CC_RiduzionePianoCasa_StFatto_Prog-CC_RiduzioneDensificazione_StFatto_Prog+CC_StFatto_MaggConsumoSuolo,0)</f>
        <v>0</v>
      </c>
      <c r="M183" s="857"/>
      <c r="N183" s="112"/>
      <c r="O183"/>
    </row>
    <row r="184" spans="1:15" s="9" customFormat="1" ht="12.75" customHeight="1" thickBot="1" x14ac:dyDescent="0.25">
      <c r="A184" s="14"/>
      <c r="B184" s="158"/>
      <c r="C184" s="159"/>
      <c r="D184" s="160"/>
      <c r="E184" s="113"/>
      <c r="F184" s="161"/>
      <c r="G184" s="114"/>
      <c r="H184" s="114"/>
      <c r="I184" s="114"/>
      <c r="J184" s="114"/>
      <c r="K184" s="114"/>
      <c r="L184" s="114"/>
      <c r="M184" s="163"/>
      <c r="N184" s="162"/>
      <c r="O184" s="15"/>
    </row>
    <row r="185" spans="1:15" s="5" customFormat="1" ht="15" customHeight="1" x14ac:dyDescent="0.2">
      <c r="A185" s="14"/>
      <c r="B185" s="876" t="s">
        <v>105</v>
      </c>
      <c r="C185" s="876"/>
      <c r="D185" s="876"/>
      <c r="E185" s="876"/>
      <c r="F185" s="876"/>
      <c r="G185" s="876"/>
      <c r="H185" s="876"/>
      <c r="I185" s="876"/>
      <c r="J185" s="876"/>
      <c r="K185" s="877"/>
      <c r="L185" s="863">
        <f ca="1">ROUND(ImportoCostoCostruzione+ImportoCostoCostruzione_StatoFattoProgetto,2)</f>
        <v>0</v>
      </c>
      <c r="M185" s="864"/>
      <c r="N185" s="90"/>
      <c r="O185"/>
    </row>
    <row r="186" spans="1:15" s="5" customFormat="1" ht="15.75" customHeight="1" thickBot="1" x14ac:dyDescent="0.25">
      <c r="A186" s="14"/>
      <c r="B186" s="18"/>
      <c r="C186" s="19"/>
      <c r="D186" s="20"/>
      <c r="E186" s="21"/>
      <c r="F186" s="20"/>
      <c r="G186" s="18"/>
      <c r="H186" s="18"/>
      <c r="I186" s="18"/>
      <c r="J186" s="18"/>
      <c r="K186" s="18"/>
      <c r="L186" s="18"/>
      <c r="M186" s="18"/>
      <c r="N186" s="14"/>
      <c r="O186"/>
    </row>
    <row r="187" spans="1:15" s="8" customFormat="1" ht="15" customHeight="1" x14ac:dyDescent="0.25">
      <c r="A187" s="22"/>
      <c r="B187" s="846" t="s">
        <v>87</v>
      </c>
      <c r="C187" s="847"/>
      <c r="D187" s="847"/>
      <c r="E187" s="847"/>
      <c r="F187" s="847"/>
      <c r="G187" s="847"/>
      <c r="H187" s="847"/>
      <c r="I187" s="847"/>
      <c r="J187" s="847"/>
      <c r="K187" s="847"/>
      <c r="L187" s="847"/>
      <c r="M187" s="847"/>
      <c r="N187" s="848"/>
      <c r="O187" s="13"/>
    </row>
    <row r="188" spans="1:15" s="8" customFormat="1" ht="15" customHeight="1" x14ac:dyDescent="0.25">
      <c r="A188" s="22"/>
      <c r="B188" s="778" t="s">
        <v>325</v>
      </c>
      <c r="C188" s="785"/>
      <c r="D188" s="785"/>
      <c r="E188" s="785"/>
      <c r="F188" s="785"/>
      <c r="G188" s="785"/>
      <c r="H188" s="785"/>
      <c r="I188" s="785"/>
      <c r="J188" s="785"/>
      <c r="K188" s="779"/>
      <c r="L188" s="830">
        <f>Riepilogo_Oblazione</f>
        <v>0</v>
      </c>
      <c r="M188" s="830"/>
      <c r="N188" s="606"/>
      <c r="O188" s="13"/>
    </row>
    <row r="189" spans="1:15" s="9" customFormat="1" ht="12.75" customHeight="1" x14ac:dyDescent="0.2">
      <c r="A189" s="14"/>
      <c r="B189" s="778" t="s">
        <v>188</v>
      </c>
      <c r="C189" s="785"/>
      <c r="D189" s="785"/>
      <c r="E189" s="785"/>
      <c r="F189" s="785"/>
      <c r="G189" s="785"/>
      <c r="H189" s="785"/>
      <c r="I189" s="785"/>
      <c r="J189" s="785"/>
      <c r="K189" s="779"/>
      <c r="L189" s="830">
        <f>DatiGen_IntervSanOnerosaForfImp</f>
        <v>0</v>
      </c>
      <c r="M189" s="830"/>
      <c r="N189" s="123"/>
      <c r="O189" s="14"/>
    </row>
    <row r="190" spans="1:15" s="9" customFormat="1" ht="12.75" customHeight="1" x14ac:dyDescent="0.2">
      <c r="A190" s="14"/>
      <c r="B190" s="776" t="s">
        <v>206</v>
      </c>
      <c r="C190" s="818"/>
      <c r="D190" s="818"/>
      <c r="E190" s="818"/>
      <c r="F190" s="818"/>
      <c r="G190" s="818"/>
      <c r="H190" s="818"/>
      <c r="I190" s="818"/>
      <c r="J190" s="818"/>
      <c r="K190" s="777"/>
      <c r="L190" s="201" t="str">
        <f>IF(OnUrb_AltriCosti_ValoreMaggCostoCAreeAgr&gt;0,IF(Parametri_MaggiorazioneAreeAgric&gt;0,Parametri_MaggiorazioneAreeAgric&amp;"%","Nessuna"),"")</f>
        <v/>
      </c>
      <c r="M190" s="64">
        <f>IF(Ou_NuovaEd_AreaAgricola="Sì",IF(Ou_NuovaEd_AreaAgricolaPerc&gt;0,(ImportoOneriUrb1+ImportoOneriUrb2+ImportoOneriSmaltimentoRif+OpereUrbPrimRealizzate+OpereUrbSecRealizzate)*Parametri_MaggiorazioneAreeAgric/100)*Ou_NuovaEd_AreaAgricolaPerc,0)</f>
        <v>0</v>
      </c>
      <c r="N190" s="123"/>
      <c r="O190" s="14"/>
    </row>
    <row r="191" spans="1:15" s="9" customFormat="1" ht="12.75" customHeight="1" x14ac:dyDescent="0.2">
      <c r="A191" s="14"/>
      <c r="B191" s="776" t="s">
        <v>207</v>
      </c>
      <c r="C191" s="818"/>
      <c r="D191" s="818"/>
      <c r="E191" s="818"/>
      <c r="F191" s="818"/>
      <c r="G191" s="818"/>
      <c r="H191" s="818"/>
      <c r="I191" s="818"/>
      <c r="J191" s="818"/>
      <c r="K191" s="777"/>
      <c r="L191" s="201" t="str">
        <f>IF(CC_AltriCosti_ValoreMaggCostoCAreeAgr&gt;0,IF(Parametri_MaggiorazioneAreeAgric&gt;0,Parametri_MaggiorazioneAreeAgric&amp;"%","Nessuna"),"")</f>
        <v/>
      </c>
      <c r="M191" s="64">
        <f>IF(Ou_NuovaEd_AreaAgricola="Sì",IF(Ou_NuovaEd_AreaAgricolaPerc&gt;0,((CC_Residenziale+CC_CommercioTerziario+cc_CostoCostRecSottProg)*Parametri_MaggiorazioneAreeAgric/100)*Ou_NuovaEd_AreaAgricolaPerc,((CC_Residenziale+CC_CommercioTerziario+cc_CostoCostRecSottProg)*Parametri_MaggiorazioneAreeAgric/100)),0)</f>
        <v>0</v>
      </c>
      <c r="N191" s="123"/>
      <c r="O191" s="14"/>
    </row>
    <row r="192" spans="1:15" s="9" customFormat="1" ht="12.75" customHeight="1" x14ac:dyDescent="0.2">
      <c r="A192" s="14"/>
      <c r="B192" s="776" t="s">
        <v>106</v>
      </c>
      <c r="C192" s="818"/>
      <c r="D192" s="818"/>
      <c r="E192" s="818"/>
      <c r="F192" s="818"/>
      <c r="G192" s="818"/>
      <c r="H192" s="818"/>
      <c r="I192" s="818"/>
      <c r="J192" s="818"/>
      <c r="K192" s="777"/>
      <c r="L192" s="830">
        <f>IF(ISERROR(MATCH(ZonaMonetizzazioneAreeStand,ElencoZoneMonetizzazione))=TRUE,0,ZonaMonetizzazioneAreeStand_Valore*Monetizz_Aree_sup)</f>
        <v>0</v>
      </c>
      <c r="M192" s="830"/>
      <c r="N192" s="123"/>
      <c r="O192" s="99">
        <f>IF(ZonaMonetizzazioneAreeStand&lt;&gt;"",(VLOOKUP(ZonaMonetizzazioneAreeStand,Parametri_ElencoZoneMatrice,4,FALSE)),"")</f>
        <v>0</v>
      </c>
    </row>
    <row r="193" spans="1:15" s="9" customFormat="1" ht="12.75" customHeight="1" thickBot="1" x14ac:dyDescent="0.25">
      <c r="A193" s="14"/>
      <c r="B193" s="867" t="s">
        <v>126</v>
      </c>
      <c r="C193" s="868"/>
      <c r="D193" s="868"/>
      <c r="E193" s="868"/>
      <c r="F193" s="868"/>
      <c r="G193" s="868"/>
      <c r="H193" s="868"/>
      <c r="I193" s="868"/>
      <c r="J193" s="868"/>
      <c r="K193" s="869"/>
      <c r="L193" s="855">
        <f>IF(ISERROR(MATCH(ZonaMonetizzazioneParcheg,ElencoZoneMonetizzazione_Parcheggi))=TRUE,0,ZonaMonetizzazioneParcheggi_Valore*Monetizz_Parcheggi_Sup)</f>
        <v>0</v>
      </c>
      <c r="M193" s="855"/>
      <c r="N193" s="178"/>
      <c r="O193" s="99">
        <f>IF(ZonaMonetizzazioneParcheg&lt;&gt;"",(VLOOKUP(ZonaMonetizzazioneParcheg,Parametri_ElencoZoneParcheggiMatrice,4,FALSE)),"")</f>
        <v>0</v>
      </c>
    </row>
    <row r="194" spans="1:15" s="9" customFormat="1" ht="15" customHeight="1" x14ac:dyDescent="0.2">
      <c r="A194" s="14"/>
      <c r="B194" s="865" t="s">
        <v>105</v>
      </c>
      <c r="C194" s="865"/>
      <c r="D194" s="865"/>
      <c r="E194" s="865"/>
      <c r="F194" s="865"/>
      <c r="G194" s="865"/>
      <c r="H194" s="865"/>
      <c r="I194" s="865"/>
      <c r="J194" s="865"/>
      <c r="K194" s="866"/>
      <c r="L194" s="856">
        <f>ROUND(CC_Oblazione+CC_AltriCosti_Sanzione+OnUrb_AltriCosti_ValoreMaggCostoCAreeAgr+CC_AltriCosti_ValoreMaggCostoCAreeAgr+Co_MonAreeStand+Co_MonAreeParc,2)</f>
        <v>0</v>
      </c>
      <c r="M194" s="856"/>
      <c r="N194" s="179"/>
      <c r="O194" s="14"/>
    </row>
    <row r="195" spans="1:15" s="5" customFormat="1" ht="16.5" customHeight="1" x14ac:dyDescent="0.2">
      <c r="A195" s="14"/>
      <c r="B195" s="18"/>
      <c r="C195" s="19"/>
      <c r="D195" s="20"/>
      <c r="E195" s="21"/>
      <c r="F195" s="20"/>
      <c r="G195" s="18"/>
      <c r="H195" s="18"/>
      <c r="I195" s="18"/>
      <c r="J195" s="18"/>
      <c r="K195" s="18"/>
      <c r="L195" s="18"/>
      <c r="M195" s="150"/>
      <c r="N195" s="14"/>
      <c r="O195"/>
    </row>
    <row r="196" spans="1:15" s="5" customFormat="1" ht="15" customHeight="1" x14ac:dyDescent="0.2">
      <c r="A196" s="23"/>
      <c r="B196" s="828" t="s">
        <v>184</v>
      </c>
      <c r="C196" s="828"/>
      <c r="D196" s="828"/>
      <c r="E196" s="828"/>
      <c r="F196" s="828"/>
      <c r="G196" s="828"/>
      <c r="H196" s="828"/>
      <c r="I196" s="828"/>
      <c r="J196" s="828"/>
      <c r="K196" s="829"/>
      <c r="L196" s="809">
        <f ca="1">ROUND(ImportoOneriUrbanizzazione_Riferimento+ImportoCostoCostruzione_conAltriCosti+ImportoAltriCosti,2)</f>
        <v>0</v>
      </c>
      <c r="M196" s="810"/>
      <c r="N196" s="181"/>
      <c r="O196"/>
    </row>
    <row r="197" spans="1:15" s="5" customFormat="1" ht="15" customHeight="1" x14ac:dyDescent="0.2">
      <c r="A197" s="23"/>
      <c r="B197" s="230"/>
      <c r="C197" s="230"/>
      <c r="D197" s="230"/>
      <c r="E197" s="230"/>
      <c r="F197" s="230"/>
      <c r="G197" s="230"/>
      <c r="H197" s="230"/>
      <c r="I197" s="230"/>
      <c r="J197" s="230"/>
      <c r="K197" s="230"/>
      <c r="L197"/>
      <c r="M197"/>
      <c r="N197" s="90"/>
      <c r="O197"/>
    </row>
    <row r="253" x14ac:dyDescent="0.2"/>
    <row r="254" x14ac:dyDescent="0.2"/>
  </sheetData>
  <sheetProtection password="83CC" sheet="1" objects="1" scenarios="1" formatColumns="0" formatRows="0" insertRows="0"/>
  <mergeCells count="304">
    <mergeCell ref="O5:O6"/>
    <mergeCell ref="D90:F90"/>
    <mergeCell ref="B64:K64"/>
    <mergeCell ref="D56:F56"/>
    <mergeCell ref="B49:C49"/>
    <mergeCell ref="B78:K78"/>
    <mergeCell ref="B50:C50"/>
    <mergeCell ref="B71:F71"/>
    <mergeCell ref="H89:J89"/>
    <mergeCell ref="B68:K68"/>
    <mergeCell ref="B69:K69"/>
    <mergeCell ref="B75:K75"/>
    <mergeCell ref="B48:C48"/>
    <mergeCell ref="B51:C51"/>
    <mergeCell ref="B90:C90"/>
    <mergeCell ref="B82:K82"/>
    <mergeCell ref="B61:F61"/>
    <mergeCell ref="B62:K62"/>
    <mergeCell ref="H56:J56"/>
    <mergeCell ref="B59:C59"/>
    <mergeCell ref="B56:C56"/>
    <mergeCell ref="B65:K65"/>
    <mergeCell ref="B57:C57"/>
    <mergeCell ref="L19:M19"/>
    <mergeCell ref="H4:J4"/>
    <mergeCell ref="D28:F28"/>
    <mergeCell ref="B72:K72"/>
    <mergeCell ref="B33:C33"/>
    <mergeCell ref="B66:K66"/>
    <mergeCell ref="H40:J40"/>
    <mergeCell ref="B43:C43"/>
    <mergeCell ref="L147:M147"/>
    <mergeCell ref="B140:C140"/>
    <mergeCell ref="B141:C141"/>
    <mergeCell ref="B128:C128"/>
    <mergeCell ref="B136:C136"/>
    <mergeCell ref="B137:C137"/>
    <mergeCell ref="B131:C131"/>
    <mergeCell ref="B138:C138"/>
    <mergeCell ref="B125:C125"/>
    <mergeCell ref="B126:C126"/>
    <mergeCell ref="B127:C127"/>
    <mergeCell ref="H144:I144"/>
    <mergeCell ref="B130:C130"/>
    <mergeCell ref="D126:F126"/>
    <mergeCell ref="H126:J126"/>
    <mergeCell ref="B4:C4"/>
    <mergeCell ref="B8:C8"/>
    <mergeCell ref="B10:C10"/>
    <mergeCell ref="B11:C11"/>
    <mergeCell ref="B170:K170"/>
    <mergeCell ref="H44:J44"/>
    <mergeCell ref="D48:F48"/>
    <mergeCell ref="B67:K67"/>
    <mergeCell ref="B52:C52"/>
    <mergeCell ref="D94:F94"/>
    <mergeCell ref="B94:C94"/>
    <mergeCell ref="H118:J118"/>
    <mergeCell ref="B102:C102"/>
    <mergeCell ref="B63:K63"/>
    <mergeCell ref="B92:C92"/>
    <mergeCell ref="B93:C93"/>
    <mergeCell ref="B74:K74"/>
    <mergeCell ref="D52:F52"/>
    <mergeCell ref="H52:J52"/>
    <mergeCell ref="B53:C53"/>
    <mergeCell ref="H90:J90"/>
    <mergeCell ref="B113:C113"/>
    <mergeCell ref="B123:C123"/>
    <mergeCell ref="B73:K73"/>
    <mergeCell ref="B70:K70"/>
    <mergeCell ref="B45:C45"/>
    <mergeCell ref="B182:K182"/>
    <mergeCell ref="B180:K180"/>
    <mergeCell ref="B171:K171"/>
    <mergeCell ref="B173:K173"/>
    <mergeCell ref="B174:K174"/>
    <mergeCell ref="B188:K188"/>
    <mergeCell ref="B185:K185"/>
    <mergeCell ref="B187:N187"/>
    <mergeCell ref="B189:K189"/>
    <mergeCell ref="B179:K179"/>
    <mergeCell ref="B172:K172"/>
    <mergeCell ref="B6:C6"/>
    <mergeCell ref="B7:C7"/>
    <mergeCell ref="B9:C9"/>
    <mergeCell ref="H16:J16"/>
    <mergeCell ref="L193:M193"/>
    <mergeCell ref="L194:M194"/>
    <mergeCell ref="L183:M183"/>
    <mergeCell ref="L189:M189"/>
    <mergeCell ref="L192:M192"/>
    <mergeCell ref="L174:M174"/>
    <mergeCell ref="L177:M177"/>
    <mergeCell ref="B176:N176"/>
    <mergeCell ref="B177:K177"/>
    <mergeCell ref="L185:M185"/>
    <mergeCell ref="B194:K194"/>
    <mergeCell ref="L178:M178"/>
    <mergeCell ref="L188:M188"/>
    <mergeCell ref="B193:K193"/>
    <mergeCell ref="B181:K181"/>
    <mergeCell ref="B183:K183"/>
    <mergeCell ref="B190:K190"/>
    <mergeCell ref="B191:K191"/>
    <mergeCell ref="B192:K192"/>
    <mergeCell ref="B178:K178"/>
    <mergeCell ref="B19:C19"/>
    <mergeCell ref="H48:J48"/>
    <mergeCell ref="H98:J98"/>
    <mergeCell ref="B58:C58"/>
    <mergeCell ref="L31:M31"/>
    <mergeCell ref="L5:M5"/>
    <mergeCell ref="L6:M6"/>
    <mergeCell ref="D8:F8"/>
    <mergeCell ref="H8:J8"/>
    <mergeCell ref="D12:F12"/>
    <mergeCell ref="H12:J12"/>
    <mergeCell ref="B13:C13"/>
    <mergeCell ref="B14:C14"/>
    <mergeCell ref="B15:C15"/>
    <mergeCell ref="B17:C17"/>
    <mergeCell ref="D24:F24"/>
    <mergeCell ref="D20:F20"/>
    <mergeCell ref="H24:J24"/>
    <mergeCell ref="B25:C25"/>
    <mergeCell ref="B21:C21"/>
    <mergeCell ref="B23:C23"/>
    <mergeCell ref="B12:C12"/>
    <mergeCell ref="B16:C16"/>
    <mergeCell ref="B5:C5"/>
    <mergeCell ref="B95:C95"/>
    <mergeCell ref="D106:F106"/>
    <mergeCell ref="D102:F102"/>
    <mergeCell ref="B84:K84"/>
    <mergeCell ref="B2:N2"/>
    <mergeCell ref="H110:J110"/>
    <mergeCell ref="H114:J114"/>
    <mergeCell ref="D114:F114"/>
    <mergeCell ref="D3:F3"/>
    <mergeCell ref="H3:J3"/>
    <mergeCell ref="D4:F4"/>
    <mergeCell ref="B26:C26"/>
    <mergeCell ref="B27:C27"/>
    <mergeCell ref="B22:C22"/>
    <mergeCell ref="D110:F110"/>
    <mergeCell ref="H28:J28"/>
    <mergeCell ref="B88:N88"/>
    <mergeCell ref="L29:M29"/>
    <mergeCell ref="L80:M80"/>
    <mergeCell ref="L84:M84"/>
    <mergeCell ref="B46:C46"/>
    <mergeCell ref="B47:C47"/>
    <mergeCell ref="B18:C18"/>
    <mergeCell ref="D16:F16"/>
    <mergeCell ref="B40:C40"/>
    <mergeCell ref="B41:C41"/>
    <mergeCell ref="B42:C42"/>
    <mergeCell ref="D89:F89"/>
    <mergeCell ref="D44:F44"/>
    <mergeCell ref="H159:J159"/>
    <mergeCell ref="D130:F130"/>
    <mergeCell ref="H130:J130"/>
    <mergeCell ref="C142:F142"/>
    <mergeCell ref="G142:J142"/>
    <mergeCell ref="B133:C133"/>
    <mergeCell ref="B151:K151"/>
    <mergeCell ref="D144:E144"/>
    <mergeCell ref="D145:E145"/>
    <mergeCell ref="H143:I143"/>
    <mergeCell ref="H145:I145"/>
    <mergeCell ref="D143:E143"/>
    <mergeCell ref="D138:F138"/>
    <mergeCell ref="H138:J138"/>
    <mergeCell ref="B139:C139"/>
    <mergeCell ref="H134:J134"/>
    <mergeCell ref="B158:N158"/>
    <mergeCell ref="B44:C44"/>
    <mergeCell ref="B115:C115"/>
    <mergeCell ref="B134:C134"/>
    <mergeCell ref="D134:F134"/>
    <mergeCell ref="B124:C124"/>
    <mergeCell ref="B129:C129"/>
    <mergeCell ref="B132:C132"/>
    <mergeCell ref="B117:C117"/>
    <mergeCell ref="B118:C118"/>
    <mergeCell ref="B121:C121"/>
    <mergeCell ref="D118:F118"/>
    <mergeCell ref="D122:F122"/>
    <mergeCell ref="B119:C119"/>
    <mergeCell ref="B120:C120"/>
    <mergeCell ref="B122:C122"/>
    <mergeCell ref="H122:J122"/>
    <mergeCell ref="B114:C114"/>
    <mergeCell ref="L45:M45"/>
    <mergeCell ref="L62:M62"/>
    <mergeCell ref="L46:M46"/>
    <mergeCell ref="B77:K77"/>
    <mergeCell ref="B76:K76"/>
    <mergeCell ref="B86:K86"/>
    <mergeCell ref="B80:K80"/>
    <mergeCell ref="B110:C110"/>
    <mergeCell ref="B116:C116"/>
    <mergeCell ref="B81:K81"/>
    <mergeCell ref="H94:J94"/>
    <mergeCell ref="B79:K79"/>
    <mergeCell ref="B83:K83"/>
    <mergeCell ref="B91:C91"/>
    <mergeCell ref="H106:J106"/>
    <mergeCell ref="D98:F98"/>
    <mergeCell ref="B106:C106"/>
    <mergeCell ref="B107:C107"/>
    <mergeCell ref="B108:C108"/>
    <mergeCell ref="B111:C111"/>
    <mergeCell ref="B100:C100"/>
    <mergeCell ref="B101:C101"/>
    <mergeCell ref="H20:J20"/>
    <mergeCell ref="L22:M22"/>
    <mergeCell ref="L26:M26"/>
    <mergeCell ref="L23:M23"/>
    <mergeCell ref="L25:M25"/>
    <mergeCell ref="L27:M27"/>
    <mergeCell ref="L39:M39"/>
    <mergeCell ref="D36:F36"/>
    <mergeCell ref="B20:C20"/>
    <mergeCell ref="B28:C28"/>
    <mergeCell ref="B29:C29"/>
    <mergeCell ref="B30:C30"/>
    <mergeCell ref="B31:C31"/>
    <mergeCell ref="L30:M30"/>
    <mergeCell ref="H32:J32"/>
    <mergeCell ref="B32:C32"/>
    <mergeCell ref="D32:F32"/>
    <mergeCell ref="B35:C35"/>
    <mergeCell ref="L3:M3"/>
    <mergeCell ref="L50:M50"/>
    <mergeCell ref="L51:M51"/>
    <mergeCell ref="L54:M54"/>
    <mergeCell ref="L72:M72"/>
    <mergeCell ref="L41:M41"/>
    <mergeCell ref="L37:M37"/>
    <mergeCell ref="L38:M38"/>
    <mergeCell ref="L58:M58"/>
    <mergeCell ref="L57:M57"/>
    <mergeCell ref="L7:M7"/>
    <mergeCell ref="L9:M9"/>
    <mergeCell ref="L10:M10"/>
    <mergeCell ref="L11:M11"/>
    <mergeCell ref="L13:M13"/>
    <mergeCell ref="L21:M21"/>
    <mergeCell ref="L15:M15"/>
    <mergeCell ref="L17:M17"/>
    <mergeCell ref="L18:M18"/>
    <mergeCell ref="L14:M14"/>
    <mergeCell ref="L42:M42"/>
    <mergeCell ref="L43:M43"/>
    <mergeCell ref="L167:M168"/>
    <mergeCell ref="L196:M196"/>
    <mergeCell ref="B196:K196"/>
    <mergeCell ref="L49:M49"/>
    <mergeCell ref="L33:M33"/>
    <mergeCell ref="L34:M34"/>
    <mergeCell ref="L35:M35"/>
    <mergeCell ref="L53:M53"/>
    <mergeCell ref="B54:C54"/>
    <mergeCell ref="B55:C55"/>
    <mergeCell ref="B34:C34"/>
    <mergeCell ref="L86:M86"/>
    <mergeCell ref="L47:M47"/>
    <mergeCell ref="L55:M55"/>
    <mergeCell ref="L59:M59"/>
    <mergeCell ref="L70:M70"/>
    <mergeCell ref="D40:F40"/>
    <mergeCell ref="B135:C135"/>
    <mergeCell ref="B96:C96"/>
    <mergeCell ref="B97:C97"/>
    <mergeCell ref="B98:C98"/>
    <mergeCell ref="B99:C99"/>
    <mergeCell ref="B109:C109"/>
    <mergeCell ref="L149:M149"/>
    <mergeCell ref="B160:B161"/>
    <mergeCell ref="B112:C112"/>
    <mergeCell ref="H102:J102"/>
    <mergeCell ref="L160:M161"/>
    <mergeCell ref="B103:C103"/>
    <mergeCell ref="B104:C104"/>
    <mergeCell ref="B105:C105"/>
    <mergeCell ref="B169:C169"/>
    <mergeCell ref="D169:K169"/>
    <mergeCell ref="D159:F159"/>
    <mergeCell ref="B147:K147"/>
    <mergeCell ref="L154:M154"/>
    <mergeCell ref="L151:M151"/>
    <mergeCell ref="B152:K152"/>
    <mergeCell ref="L152:M152"/>
    <mergeCell ref="B154:K154"/>
    <mergeCell ref="B156:N156"/>
    <mergeCell ref="L148:M148"/>
    <mergeCell ref="B148:K148"/>
    <mergeCell ref="B167:B168"/>
    <mergeCell ref="B162:B163"/>
    <mergeCell ref="G167:K168"/>
    <mergeCell ref="B149:K149"/>
    <mergeCell ref="L162:M163"/>
  </mergeCells>
  <phoneticPr fontId="4" type="noConversion"/>
  <conditionalFormatting sqref="D4:F4 H4:K4 D8:F8 D12:F12 H12:K12 D16:F16 H16:K16 D20:F20 H20:K20 D24:F24 H24:K24 D28:F28 H28:K28 D32:F32 H32:K32 D36:F36 D90:F90 D94:F94 D98:F98 D102:F102 D106:F106 D110:F110 D114:F114 D118:F118">
    <cfRule type="cellIs" dxfId="62" priority="34" stopIfTrue="1" operator="greaterThan">
      <formula>0</formula>
    </cfRule>
  </conditionalFormatting>
  <conditionalFormatting sqref="D40:F40 H40:K40">
    <cfRule type="cellIs" dxfId="61" priority="15" stopIfTrue="1" operator="greaterThan">
      <formula>0</formula>
    </cfRule>
  </conditionalFormatting>
  <conditionalFormatting sqref="D44:F44 H44:K44">
    <cfRule type="cellIs" dxfId="60" priority="14" stopIfTrue="1" operator="greaterThan">
      <formula>0</formula>
    </cfRule>
  </conditionalFormatting>
  <conditionalFormatting sqref="D48:F48 H48:K48">
    <cfRule type="cellIs" dxfId="59" priority="13" stopIfTrue="1" operator="greaterThan">
      <formula>0</formula>
    </cfRule>
  </conditionalFormatting>
  <conditionalFormatting sqref="D52:F52 H52:K52">
    <cfRule type="cellIs" dxfId="58" priority="6" stopIfTrue="1" operator="greaterThan">
      <formula>0</formula>
    </cfRule>
  </conditionalFormatting>
  <conditionalFormatting sqref="D56:F56 H56:K56">
    <cfRule type="cellIs" dxfId="57" priority="5" stopIfTrue="1" operator="greaterThan">
      <formula>0</formula>
    </cfRule>
  </conditionalFormatting>
  <conditionalFormatting sqref="D122:F122">
    <cfRule type="cellIs" dxfId="56" priority="12" stopIfTrue="1" operator="greaterThan">
      <formula>0</formula>
    </cfRule>
  </conditionalFormatting>
  <conditionalFormatting sqref="D126:F126">
    <cfRule type="cellIs" dxfId="55" priority="10" stopIfTrue="1" operator="greaterThan">
      <formula>0</formula>
    </cfRule>
  </conditionalFormatting>
  <conditionalFormatting sqref="D130:F130">
    <cfRule type="cellIs" dxfId="54" priority="8" stopIfTrue="1" operator="greaterThan">
      <formula>0</formula>
    </cfRule>
  </conditionalFormatting>
  <conditionalFormatting sqref="D134:F134">
    <cfRule type="cellIs" dxfId="53" priority="4" stopIfTrue="1" operator="greaterThan">
      <formula>0</formula>
    </cfRule>
  </conditionalFormatting>
  <conditionalFormatting sqref="D138:F138">
    <cfRule type="cellIs" dxfId="52" priority="2" stopIfTrue="1" operator="greaterThan">
      <formula>0</formula>
    </cfRule>
  </conditionalFormatting>
  <conditionalFormatting sqref="H8:K8">
    <cfRule type="cellIs" dxfId="51" priority="35" stopIfTrue="1" operator="notEqual">
      <formula>0</formula>
    </cfRule>
  </conditionalFormatting>
  <conditionalFormatting sqref="H90:K90 H94:K94 H102:K102">
    <cfRule type="cellIs" dxfId="50" priority="26" stopIfTrue="1" operator="greaterThan">
      <formula>0</formula>
    </cfRule>
  </conditionalFormatting>
  <conditionalFormatting sqref="H98:K98">
    <cfRule type="cellIs" dxfId="49" priority="25" stopIfTrue="1" operator="greaterThan">
      <formula>0</formula>
    </cfRule>
  </conditionalFormatting>
  <conditionalFormatting sqref="H106:K106">
    <cfRule type="cellIs" dxfId="48" priority="24" stopIfTrue="1" operator="greaterThan">
      <formula>0</formula>
    </cfRule>
  </conditionalFormatting>
  <conditionalFormatting sqref="H110:K110">
    <cfRule type="cellIs" dxfId="47" priority="23" stopIfTrue="1" operator="greaterThan">
      <formula>0</formula>
    </cfRule>
  </conditionalFormatting>
  <conditionalFormatting sqref="H114:K114">
    <cfRule type="cellIs" dxfId="46" priority="22" stopIfTrue="1" operator="greaterThan">
      <formula>0</formula>
    </cfRule>
  </conditionalFormatting>
  <conditionalFormatting sqref="H118:K118">
    <cfRule type="cellIs" dxfId="45" priority="21" stopIfTrue="1" operator="greaterThan">
      <formula>0</formula>
    </cfRule>
  </conditionalFormatting>
  <conditionalFormatting sqref="H122:K122">
    <cfRule type="cellIs" dxfId="44" priority="11" stopIfTrue="1" operator="greaterThan">
      <formula>0</formula>
    </cfRule>
  </conditionalFormatting>
  <conditionalFormatting sqref="H126:K126">
    <cfRule type="cellIs" dxfId="43" priority="9" stopIfTrue="1" operator="greaterThan">
      <formula>0</formula>
    </cfRule>
  </conditionalFormatting>
  <conditionalFormatting sqref="H130:K130">
    <cfRule type="cellIs" dxfId="42" priority="7" stopIfTrue="1" operator="greaterThan">
      <formula>0</formula>
    </cfRule>
  </conditionalFormatting>
  <conditionalFormatting sqref="H134:K134">
    <cfRule type="cellIs" dxfId="41" priority="3" stopIfTrue="1" operator="greaterThan">
      <formula>0</formula>
    </cfRule>
  </conditionalFormatting>
  <conditionalFormatting sqref="H138:K138">
    <cfRule type="cellIs" dxfId="40" priority="1" stopIfTrue="1" operator="greaterThan">
      <formula>0</formula>
    </cfRule>
  </conditionalFormatting>
  <hyperlinks>
    <hyperlink ref="O5:O6" location="'Procedura guidata'!A1" display="Torna alla procedura guidata!" xr:uid="{00000000-0004-0000-0200-000000000000}"/>
  </hyperlinks>
  <pageMargins left="0.19685039370078741" right="0.15748031496062992" top="0.27559055118110237" bottom="0.27559055118110237" header="0.27559055118110237" footer="0.23622047244094491"/>
  <pageSetup paperSize="9" scale="65"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1">
    <tabColor rgb="FFFFFF66"/>
    <pageSetUpPr fitToPage="1"/>
  </sheetPr>
  <dimension ref="A1:IT96"/>
  <sheetViews>
    <sheetView showGridLines="0" workbookViewId="0"/>
  </sheetViews>
  <sheetFormatPr defaultColWidth="0" defaultRowHeight="12.75" zeroHeight="1" x14ac:dyDescent="0.2"/>
  <cols>
    <col min="1" max="1" width="5.7109375" customWidth="1"/>
    <col min="2" max="2" width="26.85546875" customWidth="1"/>
    <col min="3" max="3" width="14.7109375" customWidth="1"/>
    <col min="4" max="7" width="20.7109375" customWidth="1"/>
    <col min="8" max="8" width="1.85546875" customWidth="1"/>
    <col min="9" max="9" width="18.7109375" customWidth="1"/>
    <col min="10" max="28" width="9.140625" hidden="1" customWidth="1"/>
    <col min="29" max="29" width="9" hidden="1" customWidth="1"/>
    <col min="30" max="251" width="9.140625" hidden="1" customWidth="1"/>
    <col min="252" max="252" width="4.140625" hidden="1" customWidth="1"/>
    <col min="253" max="253" width="3.42578125" hidden="1" customWidth="1"/>
    <col min="254" max="254" width="2.85546875" hidden="1" customWidth="1"/>
    <col min="255" max="16384" width="4.85546875" hidden="1"/>
  </cols>
  <sheetData>
    <row r="1" spans="1:9" s="5" customFormat="1" ht="12.75" customHeight="1" thickBot="1" x14ac:dyDescent="0.25">
      <c r="A1" s="89"/>
      <c r="B1" s="885" t="str">
        <f>"Versione 15 (03/04/2015) CONTRIBUTO DI COSTRUZIONE"</f>
        <v>Versione 15 (03/04/2015) CONTRIBUTO DI COSTRUZIONE</v>
      </c>
      <c r="C1" s="885"/>
      <c r="D1" s="885"/>
      <c r="E1" s="885"/>
      <c r="F1" s="885"/>
      <c r="G1" s="885"/>
      <c r="H1" s="885"/>
      <c r="I1" s="89"/>
    </row>
    <row r="2" spans="1:9" s="6" customFormat="1" ht="12.75" customHeight="1" x14ac:dyDescent="0.2">
      <c r="A2" s="28"/>
      <c r="B2" s="788" t="s">
        <v>173</v>
      </c>
      <c r="C2" s="789"/>
      <c r="D2" s="789"/>
      <c r="E2" s="789"/>
      <c r="F2" s="789"/>
      <c r="G2" s="789"/>
      <c r="H2" s="790"/>
      <c r="I2" s="516"/>
    </row>
    <row r="3" spans="1:9" s="5" customFormat="1" ht="12.75" customHeight="1" x14ac:dyDescent="0.2">
      <c r="A3" s="29"/>
      <c r="B3" s="795" t="s">
        <v>174</v>
      </c>
      <c r="C3" s="887"/>
      <c r="D3" s="887"/>
      <c r="E3" s="887"/>
      <c r="F3" s="888"/>
      <c r="G3" s="886" t="s">
        <v>166</v>
      </c>
      <c r="H3" s="44"/>
      <c r="I3"/>
    </row>
    <row r="4" spans="1:9" s="5" customFormat="1" ht="12.75" customHeight="1" x14ac:dyDescent="0.2">
      <c r="A4" s="29"/>
      <c r="B4" s="894" t="str">
        <f>IF(ZonaTerritoriale&lt;&gt;"",INDEX(Parametri_ElencoZoneTerritorialiDesc,MATCH(ZonaTerritoriale,ElencoZoneTerritoriali,0),1),"")</f>
        <v>Inserire zona urbanistica da PGT</v>
      </c>
      <c r="C4" s="895"/>
      <c r="D4" s="895"/>
      <c r="E4" s="895"/>
      <c r="F4" s="896"/>
      <c r="G4" s="886"/>
      <c r="H4" s="44"/>
      <c r="I4"/>
    </row>
    <row r="5" spans="1:9" s="5" customFormat="1" ht="12.75" customHeight="1" x14ac:dyDescent="0.2">
      <c r="A5" s="29"/>
      <c r="B5" s="776" t="s">
        <v>246</v>
      </c>
      <c r="C5" s="818"/>
      <c r="D5" s="818"/>
      <c r="E5" s="818"/>
      <c r="F5" s="777"/>
      <c r="G5" s="467" t="s">
        <v>95</v>
      </c>
      <c r="H5" s="44"/>
      <c r="I5"/>
    </row>
    <row r="6" spans="1:9" s="5" customFormat="1" ht="12.75" customHeight="1" x14ac:dyDescent="0.2">
      <c r="A6" s="29"/>
      <c r="B6" s="776" t="s">
        <v>254</v>
      </c>
      <c r="C6" s="818"/>
      <c r="D6" s="818"/>
      <c r="E6" s="818"/>
      <c r="F6" s="777"/>
      <c r="G6" s="468">
        <v>0</v>
      </c>
      <c r="H6" s="44"/>
      <c r="I6" s="878" t="s">
        <v>269</v>
      </c>
    </row>
    <row r="7" spans="1:9" s="5" customFormat="1" ht="12.75" customHeight="1" x14ac:dyDescent="0.2">
      <c r="A7" s="26"/>
      <c r="B7" s="776" t="s">
        <v>247</v>
      </c>
      <c r="C7" s="818"/>
      <c r="D7" s="818"/>
      <c r="E7" s="818"/>
      <c r="F7" s="777"/>
      <c r="G7" s="469" t="s">
        <v>95</v>
      </c>
      <c r="H7" s="88"/>
      <c r="I7" s="878"/>
    </row>
    <row r="8" spans="1:9" s="5" customFormat="1" ht="12.75" customHeight="1" x14ac:dyDescent="0.2">
      <c r="A8" s="26"/>
      <c r="B8" s="776" t="s">
        <v>189</v>
      </c>
      <c r="C8" s="818"/>
      <c r="D8" s="818"/>
      <c r="E8" s="818"/>
      <c r="F8" s="777"/>
      <c r="G8" s="467" t="s">
        <v>95</v>
      </c>
      <c r="H8" s="88"/>
      <c r="I8" s="26"/>
    </row>
    <row r="9" spans="1:9" s="5" customFormat="1" ht="12.75" customHeight="1" x14ac:dyDescent="0.2">
      <c r="A9" s="26"/>
      <c r="B9" s="776" t="s">
        <v>339</v>
      </c>
      <c r="C9" s="818"/>
      <c r="D9" s="818"/>
      <c r="E9" s="818"/>
      <c r="F9" s="777"/>
      <c r="G9" s="467" t="s">
        <v>95</v>
      </c>
      <c r="H9" s="88"/>
      <c r="I9" s="26"/>
    </row>
    <row r="10" spans="1:9" s="5" customFormat="1" ht="12.75" customHeight="1" x14ac:dyDescent="0.2">
      <c r="A10" s="26"/>
      <c r="B10" s="776" t="s">
        <v>350</v>
      </c>
      <c r="C10" s="818"/>
      <c r="D10" s="818"/>
      <c r="E10" s="818"/>
      <c r="F10" s="777"/>
      <c r="G10" s="467" t="s">
        <v>95</v>
      </c>
      <c r="H10" s="88"/>
      <c r="I10" s="26"/>
    </row>
    <row r="11" spans="1:9" s="5" customFormat="1" ht="12.75" customHeight="1" x14ac:dyDescent="0.2">
      <c r="A11" s="26"/>
      <c r="B11" s="776" t="s">
        <v>386</v>
      </c>
      <c r="C11" s="818"/>
      <c r="D11" s="818"/>
      <c r="E11" s="818"/>
      <c r="F11" s="777"/>
      <c r="G11" s="699" t="s">
        <v>95</v>
      </c>
      <c r="H11" s="88"/>
      <c r="I11" s="26"/>
    </row>
    <row r="12" spans="1:9" s="5" customFormat="1" ht="12.75" customHeight="1" x14ac:dyDescent="0.2">
      <c r="A12" s="26"/>
      <c r="B12" s="899" t="s">
        <v>303</v>
      </c>
      <c r="C12" s="900"/>
      <c r="D12" s="900"/>
      <c r="E12" s="900"/>
      <c r="F12" s="901"/>
      <c r="G12" s="467" t="s">
        <v>95</v>
      </c>
      <c r="H12" s="88"/>
      <c r="I12" s="26"/>
    </row>
    <row r="13" spans="1:9" s="5" customFormat="1" ht="12.75" customHeight="1" x14ac:dyDescent="0.2">
      <c r="A13" s="26"/>
      <c r="B13" s="899" t="s">
        <v>305</v>
      </c>
      <c r="C13" s="900"/>
      <c r="D13" s="900"/>
      <c r="E13" s="900"/>
      <c r="F13" s="901"/>
      <c r="G13" s="563">
        <v>0</v>
      </c>
      <c r="H13" s="88"/>
      <c r="I13" s="26"/>
    </row>
    <row r="14" spans="1:9" s="5" customFormat="1" ht="12.75" customHeight="1" thickBot="1" x14ac:dyDescent="0.25">
      <c r="A14"/>
      <c r="B14" s="87"/>
      <c r="C14" s="71"/>
      <c r="D14" s="71"/>
      <c r="E14" s="71"/>
      <c r="F14" s="71"/>
      <c r="G14" s="71"/>
      <c r="H14" s="56"/>
      <c r="I14" s="614" t="b">
        <f>IF(AND(selezione_passo_descrizione_intervento="x",selezione_nuova_costruzione="o",selezione_ampliamento="o",selezione_ristrutturazione="o",selezione_cambio_uso="o",selezione_sottotetti="o"),FALSE,TRUE)</f>
        <v>1</v>
      </c>
    </row>
    <row r="15" spans="1:9" s="5" customFormat="1" ht="12.75" customHeight="1" thickBot="1" x14ac:dyDescent="0.25">
      <c r="A15"/>
      <c r="B15"/>
      <c r="C15"/>
      <c r="D15"/>
      <c r="E15"/>
      <c r="F15"/>
      <c r="G15"/>
      <c r="H15"/>
      <c r="I15"/>
    </row>
    <row r="16" spans="1:9" s="5" customFormat="1" ht="12.75" customHeight="1" x14ac:dyDescent="0.2">
      <c r="A16"/>
      <c r="B16" s="788" t="s">
        <v>77</v>
      </c>
      <c r="C16" s="789"/>
      <c r="D16" s="789"/>
      <c r="E16" s="789"/>
      <c r="F16" s="789"/>
      <c r="G16" s="789"/>
      <c r="H16" s="790"/>
      <c r="I16"/>
    </row>
    <row r="17" spans="1:9" s="5" customFormat="1" ht="12.75" customHeight="1" x14ac:dyDescent="0.2">
      <c r="A17"/>
      <c r="B17" s="778" t="s">
        <v>170</v>
      </c>
      <c r="C17" s="785"/>
      <c r="D17" s="785"/>
      <c r="E17" s="785"/>
      <c r="F17" s="779"/>
      <c r="G17" s="469" t="s">
        <v>122</v>
      </c>
      <c r="H17" s="44"/>
      <c r="I17"/>
    </row>
    <row r="18" spans="1:9" s="5" customFormat="1" ht="12.75" customHeight="1" x14ac:dyDescent="0.2">
      <c r="A18"/>
      <c r="B18" s="776" t="s">
        <v>171</v>
      </c>
      <c r="C18" s="818"/>
      <c r="D18" s="818"/>
      <c r="E18" s="818"/>
      <c r="F18" s="777"/>
      <c r="G18" s="469" t="s">
        <v>122</v>
      </c>
      <c r="H18" s="44"/>
      <c r="I18"/>
    </row>
    <row r="19" spans="1:9" s="5" customFormat="1" ht="12.75" customHeight="1" x14ac:dyDescent="0.2">
      <c r="A19"/>
      <c r="B19" s="776" t="s">
        <v>172</v>
      </c>
      <c r="C19" s="818"/>
      <c r="D19" s="818"/>
      <c r="E19" s="818"/>
      <c r="F19" s="777"/>
      <c r="G19" s="468">
        <v>0</v>
      </c>
      <c r="H19" s="44"/>
      <c r="I19"/>
    </row>
    <row r="20" spans="1:9" s="5" customFormat="1" ht="12.75" customHeight="1" x14ac:dyDescent="0.2">
      <c r="A20"/>
      <c r="B20" s="776" t="s">
        <v>190</v>
      </c>
      <c r="C20" s="818"/>
      <c r="D20" s="818"/>
      <c r="E20" s="818"/>
      <c r="F20" s="777"/>
      <c r="G20" s="468">
        <v>0</v>
      </c>
      <c r="H20" s="44"/>
      <c r="I20"/>
    </row>
    <row r="21" spans="1:9" s="5" customFormat="1" ht="12.75" customHeight="1" x14ac:dyDescent="0.2">
      <c r="A21"/>
      <c r="B21" s="776" t="s">
        <v>352</v>
      </c>
      <c r="C21" s="818"/>
      <c r="D21" s="818"/>
      <c r="E21" s="818"/>
      <c r="F21" s="777"/>
      <c r="G21" s="468">
        <v>0</v>
      </c>
      <c r="H21" s="44"/>
      <c r="I21"/>
    </row>
    <row r="22" spans="1:9" s="5" customFormat="1" ht="12.75" customHeight="1" x14ac:dyDescent="0.2">
      <c r="A22"/>
      <c r="B22" s="776" t="s">
        <v>379</v>
      </c>
      <c r="C22" s="818"/>
      <c r="D22" s="818"/>
      <c r="E22" s="818"/>
      <c r="F22" s="777"/>
      <c r="G22" s="468">
        <v>0</v>
      </c>
      <c r="H22" s="44"/>
      <c r="I22"/>
    </row>
    <row r="23" spans="1:9" s="5" customFormat="1" ht="12.75" customHeight="1" x14ac:dyDescent="0.2">
      <c r="A23"/>
      <c r="B23" s="776" t="s">
        <v>380</v>
      </c>
      <c r="C23" s="818"/>
      <c r="D23" s="818"/>
      <c r="E23" s="818"/>
      <c r="F23" s="777"/>
      <c r="G23" s="468">
        <v>0</v>
      </c>
      <c r="H23" s="44"/>
      <c r="I23"/>
    </row>
    <row r="24" spans="1:9" s="5" customFormat="1" ht="12.75" customHeight="1" x14ac:dyDescent="0.2">
      <c r="A24"/>
      <c r="B24" s="53"/>
      <c r="C24" s="49"/>
      <c r="D24" s="49"/>
      <c r="E24" s="49"/>
      <c r="F24" s="49"/>
      <c r="G24" s="206"/>
      <c r="H24" s="44"/>
      <c r="I24"/>
    </row>
    <row r="25" spans="1:9" s="6" customFormat="1" ht="12.75" customHeight="1" x14ac:dyDescent="0.25">
      <c r="A25" s="28"/>
      <c r="B25" s="889" t="s">
        <v>187</v>
      </c>
      <c r="C25" s="890"/>
      <c r="D25" s="890"/>
      <c r="E25" s="890"/>
      <c r="F25" s="890"/>
      <c r="G25" s="890"/>
      <c r="H25" s="891"/>
      <c r="I25" s="28"/>
    </row>
    <row r="26" spans="1:9" s="5" customFormat="1" ht="12.75" customHeight="1" x14ac:dyDescent="0.2">
      <c r="A26"/>
      <c r="B26" s="892" t="s">
        <v>123</v>
      </c>
      <c r="C26" s="893"/>
      <c r="D26" s="893"/>
      <c r="E26" s="893"/>
      <c r="F26" s="893"/>
      <c r="G26" s="97" t="s">
        <v>167</v>
      </c>
      <c r="H26" s="44"/>
      <c r="I26"/>
    </row>
    <row r="27" spans="1:9" s="5" customFormat="1" ht="12.75" customHeight="1" x14ac:dyDescent="0.2">
      <c r="A27"/>
      <c r="B27" s="778" t="str">
        <f>Parametri_DestUsoPersonalizzazione1</f>
        <v>Residenziale</v>
      </c>
      <c r="C27" s="785"/>
      <c r="D27" s="785"/>
      <c r="E27" s="785"/>
      <c r="F27" s="779"/>
      <c r="G27" s="470">
        <v>0</v>
      </c>
      <c r="H27" s="44"/>
      <c r="I27" s="614" t="b">
        <f>IF(AND(selezione_passo_descrizione_intervento="x",selezione_nuova_costruzione="o",selezione_ampliamento="o"),FALSE,TRUE)</f>
        <v>1</v>
      </c>
    </row>
    <row r="28" spans="1:9" s="5" customFormat="1" ht="12.75" customHeight="1" x14ac:dyDescent="0.2">
      <c r="A28"/>
      <c r="B28" s="776" t="str">
        <f>Parametri_DestUsoPersonalizzazione2</f>
        <v>Commerciale direzionale</v>
      </c>
      <c r="C28" s="818"/>
      <c r="D28" s="818"/>
      <c r="E28" s="818"/>
      <c r="F28" s="777"/>
      <c r="G28" s="466">
        <v>0</v>
      </c>
      <c r="H28" s="44"/>
      <c r="I28"/>
    </row>
    <row r="29" spans="1:9" s="5" customFormat="1" ht="12.75" customHeight="1" x14ac:dyDescent="0.2">
      <c r="A29"/>
      <c r="B29" s="776" t="str">
        <f>Parametri_DestUsoPersonalizzazione3</f>
        <v>attività artigianale</v>
      </c>
      <c r="C29" s="818"/>
      <c r="D29" s="818"/>
      <c r="E29" s="818"/>
      <c r="F29" s="777"/>
      <c r="G29" s="466">
        <v>0</v>
      </c>
      <c r="H29" s="44"/>
      <c r="I29"/>
    </row>
    <row r="30" spans="1:9" s="5" customFormat="1" ht="12.75" customHeight="1" x14ac:dyDescent="0.2">
      <c r="A30"/>
      <c r="B30" s="776" t="str">
        <f>Parametri_DestUsoPersonalizzazione4</f>
        <v xml:space="preserve">Industriale alberghiera </v>
      </c>
      <c r="C30" s="818"/>
      <c r="D30" s="818"/>
      <c r="E30" s="818"/>
      <c r="F30" s="777"/>
      <c r="G30" s="466">
        <v>0</v>
      </c>
      <c r="H30" s="44"/>
      <c r="I30"/>
    </row>
    <row r="31" spans="1:9" s="5" customFormat="1" ht="12.75" customHeight="1" x14ac:dyDescent="0.2">
      <c r="A31"/>
      <c r="B31" s="776" t="str">
        <f>Parametri_DestUsoPersonalizzazione5</f>
        <v>Parcheggi, silos (posto auto)</v>
      </c>
      <c r="C31" s="818"/>
      <c r="D31" s="818"/>
      <c r="E31" s="818"/>
      <c r="F31" s="777"/>
      <c r="G31" s="640">
        <v>0</v>
      </c>
      <c r="H31" s="44"/>
      <c r="I31"/>
    </row>
    <row r="32" spans="1:9" s="5" customFormat="1" ht="12.75" customHeight="1" x14ac:dyDescent="0.2">
      <c r="A32"/>
      <c r="B32" s="776" t="str">
        <f>Parametri_DestUsoPersonalizzazione6</f>
        <v>Attrezzature culturali e sanitarie</v>
      </c>
      <c r="C32" s="818"/>
      <c r="D32" s="818"/>
      <c r="E32" s="818"/>
      <c r="F32" s="777"/>
      <c r="G32" s="466">
        <v>0</v>
      </c>
      <c r="H32" s="44"/>
      <c r="I32"/>
    </row>
    <row r="33" spans="1:9" s="5" customFormat="1" ht="12.75" customHeight="1" x14ac:dyDescent="0.2">
      <c r="A33"/>
      <c r="B33" s="776" t="str">
        <f>Parametri_DestUsoPersonalizzazione7</f>
        <v>Attrezzature sportive</v>
      </c>
      <c r="C33" s="818"/>
      <c r="D33" s="818"/>
      <c r="E33" s="818"/>
      <c r="F33" s="777"/>
      <c r="G33" s="466">
        <v>0</v>
      </c>
      <c r="H33" s="44"/>
      <c r="I33"/>
    </row>
    <row r="34" spans="1:9" s="5" customFormat="1" ht="12.75" customHeight="1" x14ac:dyDescent="0.2">
      <c r="A34"/>
      <c r="B34" s="776" t="str">
        <f>Parametri_DestUsoPersonalizzazione8</f>
        <v>Attrezzature spettacolo</v>
      </c>
      <c r="C34" s="818"/>
      <c r="D34" s="818"/>
      <c r="E34" s="818"/>
      <c r="F34" s="777"/>
      <c r="G34" s="466">
        <v>0</v>
      </c>
      <c r="H34" s="44"/>
      <c r="I34"/>
    </row>
    <row r="35" spans="1:9" s="5" customFormat="1" ht="12.75" customHeight="1" x14ac:dyDescent="0.2">
      <c r="A35"/>
      <c r="B35" s="776" t="str">
        <f>Parametri_DestUsoPersonalizzazione9</f>
        <v>attività industriale</v>
      </c>
      <c r="C35" s="818"/>
      <c r="D35" s="818"/>
      <c r="E35" s="818"/>
      <c r="F35" s="777"/>
      <c r="G35" s="466">
        <v>0</v>
      </c>
      <c r="H35" s="44"/>
      <c r="I35"/>
    </row>
    <row r="36" spans="1:9" s="5" customFormat="1" ht="12.75" customHeight="1" x14ac:dyDescent="0.2">
      <c r="A36"/>
      <c r="B36" s="776" t="str">
        <f>Parametri_DestUsoPersonalizzazione10</f>
        <v>Destinazione ulteriore 2</v>
      </c>
      <c r="C36" s="818"/>
      <c r="D36" s="818"/>
      <c r="E36" s="818"/>
      <c r="F36" s="777"/>
      <c r="G36" s="466">
        <v>0</v>
      </c>
      <c r="H36" s="44"/>
      <c r="I36"/>
    </row>
    <row r="37" spans="1:9" s="5" customFormat="1" ht="12.75" customHeight="1" x14ac:dyDescent="0.2">
      <c r="A37"/>
      <c r="B37" s="776" t="str">
        <f>Parametri_DestUsoPersonalizzazione11</f>
        <v>Destinazione ulteriore 3</v>
      </c>
      <c r="C37" s="818"/>
      <c r="D37" s="818"/>
      <c r="E37" s="818"/>
      <c r="F37" s="777"/>
      <c r="G37" s="466">
        <v>0</v>
      </c>
      <c r="H37" s="44"/>
      <c r="I37"/>
    </row>
    <row r="38" spans="1:9" s="5" customFormat="1" ht="12.75" customHeight="1" x14ac:dyDescent="0.2">
      <c r="A38"/>
      <c r="B38" s="776" t="str">
        <f>Parametri_DestUsoPersonalizzazione12</f>
        <v>Destinazione ulteriore 4</v>
      </c>
      <c r="C38" s="818"/>
      <c r="D38" s="818"/>
      <c r="E38" s="818"/>
      <c r="F38" s="777"/>
      <c r="G38" s="466">
        <v>0</v>
      </c>
      <c r="H38" s="44"/>
      <c r="I38"/>
    </row>
    <row r="39" spans="1:9" s="5" customFormat="1" ht="12.75" customHeight="1" x14ac:dyDescent="0.2">
      <c r="A39"/>
      <c r="B39" s="776" t="str">
        <f>Parametri_DestUsoPersonalizzazione13</f>
        <v>Destinazione ulteriore 5</v>
      </c>
      <c r="C39" s="818"/>
      <c r="D39" s="818"/>
      <c r="E39" s="818"/>
      <c r="F39" s="777"/>
      <c r="G39" s="466">
        <v>0</v>
      </c>
      <c r="H39" s="44"/>
      <c r="I39"/>
    </row>
    <row r="40" spans="1:9" s="5" customFormat="1" ht="12.75" customHeight="1" x14ac:dyDescent="0.2">
      <c r="A40"/>
      <c r="B40" s="53"/>
      <c r="C40" s="96"/>
      <c r="D40" s="96"/>
      <c r="E40" s="96"/>
      <c r="F40" s="96"/>
      <c r="G40" s="136"/>
      <c r="H40" s="44"/>
      <c r="I40"/>
    </row>
    <row r="41" spans="1:9" s="5" customFormat="1" ht="12.75" customHeight="1" x14ac:dyDescent="0.2">
      <c r="A41"/>
      <c r="B41" s="879" t="s">
        <v>199</v>
      </c>
      <c r="C41" s="880"/>
      <c r="D41" s="880"/>
      <c r="E41" s="880"/>
      <c r="F41" s="880"/>
      <c r="G41" s="880"/>
      <c r="H41" s="881"/>
      <c r="I41"/>
    </row>
    <row r="42" spans="1:9" s="5" customFormat="1" ht="12.75" customHeight="1" x14ac:dyDescent="0.2">
      <c r="A42"/>
      <c r="B42" s="882" t="s">
        <v>123</v>
      </c>
      <c r="C42" s="883"/>
      <c r="D42" s="883"/>
      <c r="E42" s="883"/>
      <c r="F42" s="883"/>
      <c r="G42" s="883"/>
      <c r="H42" s="884"/>
      <c r="I42"/>
    </row>
    <row r="43" spans="1:9" s="5" customFormat="1" ht="12.75" customHeight="1" x14ac:dyDescent="0.2">
      <c r="A43"/>
      <c r="B43" s="778" t="s">
        <v>1</v>
      </c>
      <c r="C43" s="785"/>
      <c r="D43" s="785"/>
      <c r="E43" s="785"/>
      <c r="F43" s="779"/>
      <c r="G43" s="471">
        <v>0</v>
      </c>
      <c r="H43" s="44"/>
      <c r="I43" s="614" t="b">
        <f>IF(AND(selezione_passo_descrizione_intervento="x",selezione_sottotetti="o"),FALSE,TRUE)</f>
        <v>1</v>
      </c>
    </row>
    <row r="44" spans="1:9" s="5" customFormat="1" ht="12.75" customHeight="1" x14ac:dyDescent="0.2">
      <c r="A44"/>
      <c r="B44" s="53"/>
      <c r="C44" s="129"/>
      <c r="D44" s="129"/>
      <c r="E44" s="97"/>
      <c r="F44" s="97"/>
      <c r="G44" s="207"/>
      <c r="H44" s="44"/>
      <c r="I44"/>
    </row>
    <row r="45" spans="1:9" s="5" customFormat="1" ht="12.75" customHeight="1" x14ac:dyDescent="0.2">
      <c r="A45"/>
      <c r="B45" s="879" t="s">
        <v>255</v>
      </c>
      <c r="C45" s="880"/>
      <c r="D45" s="880"/>
      <c r="E45" s="880"/>
      <c r="F45" s="880"/>
      <c r="G45" s="880"/>
      <c r="H45" s="881"/>
      <c r="I45"/>
    </row>
    <row r="46" spans="1:9" s="5" customFormat="1" ht="12.75" customHeight="1" x14ac:dyDescent="0.2">
      <c r="A46"/>
      <c r="B46" s="53"/>
      <c r="C46"/>
      <c r="D46"/>
      <c r="E46" s="95" t="s">
        <v>194</v>
      </c>
      <c r="F46" s="902" t="s">
        <v>256</v>
      </c>
      <c r="G46" s="902"/>
      <c r="H46" s="44"/>
      <c r="I46"/>
    </row>
    <row r="47" spans="1:9" s="5" customFormat="1" ht="12.75" customHeight="1" x14ac:dyDescent="0.2">
      <c r="A47" s="26"/>
      <c r="B47" s="778" t="str">
        <f>"L'intervento implica una maggiorazione pari a "&amp; Parametri_MaggiorazioneAreeAgric &amp;"%"</f>
        <v>L'intervento implica una maggiorazione pari a 5%</v>
      </c>
      <c r="C47" s="779"/>
      <c r="D47" s="472" t="s">
        <v>95</v>
      </c>
      <c r="E47" s="473">
        <v>0</v>
      </c>
      <c r="F47" s="473">
        <v>0</v>
      </c>
      <c r="G47" s="130">
        <f>IF(ISERROR(Ou_NuovaEd_AreaAgricolaSupAreaAg/Ou_NuovaEd_AreaAgricolaSupLotto),1,(Ou_NuovaEd_AreaAgricolaSupAreaAg/Ou_NuovaEd_AreaAgricolaSupLotto))</f>
        <v>1</v>
      </c>
      <c r="H47" s="88"/>
      <c r="I47" s="26"/>
    </row>
    <row r="48" spans="1:9" s="5" customFormat="1" ht="12.75" customHeight="1" x14ac:dyDescent="0.2">
      <c r="A48" s="26"/>
      <c r="B48" s="203"/>
      <c r="C48"/>
      <c r="D48"/>
      <c r="E48"/>
      <c r="F48"/>
      <c r="G48"/>
      <c r="H48" s="88"/>
      <c r="I48" s="26"/>
    </row>
    <row r="49" spans="1:9" s="6" customFormat="1" ht="12.75" customHeight="1" x14ac:dyDescent="0.25">
      <c r="A49" s="28"/>
      <c r="B49" s="889" t="s">
        <v>191</v>
      </c>
      <c r="C49" s="890"/>
      <c r="D49" s="890"/>
      <c r="E49" s="890"/>
      <c r="F49" s="890"/>
      <c r="G49" s="890"/>
      <c r="H49" s="891"/>
      <c r="I49" s="28"/>
    </row>
    <row r="50" spans="1:9" s="5" customFormat="1" ht="12.75" customHeight="1" x14ac:dyDescent="0.2">
      <c r="A50"/>
      <c r="B50" s="892" t="s">
        <v>123</v>
      </c>
      <c r="C50" s="893"/>
      <c r="D50" s="96" t="s">
        <v>168</v>
      </c>
      <c r="E50" s="96" t="s">
        <v>169</v>
      </c>
      <c r="F50" s="96" t="s">
        <v>99</v>
      </c>
      <c r="G50" s="96" t="s">
        <v>193</v>
      </c>
      <c r="H50" s="44"/>
      <c r="I50"/>
    </row>
    <row r="51" spans="1:9" s="5" customFormat="1" ht="12.75" customHeight="1" x14ac:dyDescent="0.2">
      <c r="A51"/>
      <c r="B51" s="778" t="str">
        <f>Parametri_DestUsoPersonalizzazione1</f>
        <v>Residenziale</v>
      </c>
      <c r="C51" s="779"/>
      <c r="D51" s="474">
        <v>0</v>
      </c>
      <c r="E51" s="131">
        <f>IF(Ou_Rist_Res_CompMet&gt;0,Ou_Rist_Res_CompMet/CostoBase_NuovaEdif*4,Ou_Rist_Res_ParReale)</f>
        <v>0</v>
      </c>
      <c r="F51" s="476">
        <v>0</v>
      </c>
      <c r="G51" s="133">
        <f>IF(Ou_Rist_Res_ParReale&gt;0,MIN(Ou_Rist_Res_ParReale,Ou_Rist_Res_ParVirt),Ou_Rist_Res_ParVirt)</f>
        <v>0</v>
      </c>
      <c r="H51" s="44"/>
      <c r="I51" s="614" t="b">
        <f>IF(AND(selezione_passo_descrizione_intervento="x",selezione_ristrutturazione="o"),FALSE,TRUE)</f>
        <v>1</v>
      </c>
    </row>
    <row r="52" spans="1:9" s="5" customFormat="1" ht="12.75" customHeight="1" x14ac:dyDescent="0.2">
      <c r="A52"/>
      <c r="B52" s="776" t="str">
        <f>Parametri_DestUsoPersonalizzazione2</f>
        <v>Commerciale direzionale</v>
      </c>
      <c r="C52" s="777"/>
      <c r="D52" s="475">
        <v>0</v>
      </c>
      <c r="E52" s="132">
        <f>IF(Ou_Rist_Com_CompMet&gt;0,Ou_Rist_Com_CompMet/CostoBase_NuovaEdif,Ou_Rist_Com_ParReale)</f>
        <v>0</v>
      </c>
      <c r="F52" s="476">
        <v>0</v>
      </c>
      <c r="G52" s="134">
        <f>IF(Ou_Rist_Com_ParReale&gt;0,MIN(Ou_Rist_Com_ParReale,Ou_Rist_Com_ParVirt),Ou_Rist_Com_ParVirt)</f>
        <v>0</v>
      </c>
      <c r="H52" s="44"/>
      <c r="I52"/>
    </row>
    <row r="53" spans="1:9" s="5" customFormat="1" ht="12.75" customHeight="1" x14ac:dyDescent="0.2">
      <c r="A53"/>
      <c r="B53" s="776" t="str">
        <f>Parametri_DestUsoPersonalizzazione3</f>
        <v>attività artigianale</v>
      </c>
      <c r="C53" s="777"/>
      <c r="D53" s="605">
        <v>0</v>
      </c>
      <c r="E53" s="132">
        <f>IF(Ou_Rist_IndArt_CompMet&gt;0,Ou_Rist_IndArt_CompMet/CostoBase_NuovaEdif,Ou_Rist_IndArt_ParReale)</f>
        <v>0</v>
      </c>
      <c r="F53" s="476">
        <v>0</v>
      </c>
      <c r="G53" s="134">
        <f>IF(Ou_Rist_IndArt_ParReale&gt;0,MIN(Ou_Rist_IndArt_ParReale,Ou_Rist_IndArt_ParVirt),Ou_Rist_IndArt_ParVirt)</f>
        <v>0</v>
      </c>
      <c r="H53" s="44"/>
      <c r="I53"/>
    </row>
    <row r="54" spans="1:9" s="5" customFormat="1" ht="12.75" customHeight="1" x14ac:dyDescent="0.2">
      <c r="A54"/>
      <c r="B54" s="776" t="str">
        <f>Parametri_DestUsoPersonalizzazione4</f>
        <v xml:space="preserve">Industriale alberghiera </v>
      </c>
      <c r="C54" s="777"/>
      <c r="D54" s="475">
        <v>0</v>
      </c>
      <c r="E54" s="132">
        <f>IF(Ou_Rist_IndAlb_CompMet&gt;0,Ou_Rist_IndAlb_CompMet/CostoBase_NuovaEdif,Ou_Rist_IndAlb_ParReale)</f>
        <v>0</v>
      </c>
      <c r="F54" s="477">
        <v>0</v>
      </c>
      <c r="G54" s="134">
        <f>IF(Ou_Rist_IndAlb_ParReale&gt;0,MIN(Ou_Rist_IndAlb_ParReale,Ou_Rist_IndAlb_ParVirt),Ou_Rist_IndAlb_ParVirt)</f>
        <v>0</v>
      </c>
      <c r="H54" s="44"/>
      <c r="I54"/>
    </row>
    <row r="55" spans="1:9" s="5" customFormat="1" ht="12.75" customHeight="1" x14ac:dyDescent="0.2">
      <c r="A55"/>
      <c r="B55" s="776" t="str">
        <f>Parametri_DestUsoPersonalizzazione5</f>
        <v>Parcheggi, silos (posto auto)</v>
      </c>
      <c r="C55" s="777"/>
      <c r="D55" s="641">
        <v>0</v>
      </c>
      <c r="E55" s="132">
        <f>IF(Ou_Rist_ParSil_CompMet&gt;0,Ou_Rist_ParSil_CompMet/CostoBase_NuovaEdif,Ou_Rist_ParSil_ParReale)</f>
        <v>0</v>
      </c>
      <c r="F55" s="477">
        <v>0</v>
      </c>
      <c r="G55" s="134">
        <f>IF(Ou_Rist_ParSil_ParReale&gt;0,MIN(Ou_Rist_ParSil_ParReale,Ou_Rist_ParSil_ParVirt),Ou_Rist_ParSil_ParVirt)</f>
        <v>0</v>
      </c>
      <c r="H55" s="44"/>
      <c r="I55"/>
    </row>
    <row r="56" spans="1:9" s="5" customFormat="1" ht="12.75" customHeight="1" x14ac:dyDescent="0.2">
      <c r="A56"/>
      <c r="B56" s="776" t="str">
        <f>Parametri_DestUsoPersonalizzazione6</f>
        <v>Attrezzature culturali e sanitarie</v>
      </c>
      <c r="C56" s="777"/>
      <c r="D56" s="475">
        <v>0</v>
      </c>
      <c r="E56" s="132">
        <f>IF(Ou_Rist_CultSan_CompMet&gt;0,Ou_Rist_CultSan_CompMet/CostoBase_NuovaEdif,Ou_Rist_CultSan_ParReale)</f>
        <v>0</v>
      </c>
      <c r="F56" s="477">
        <v>0</v>
      </c>
      <c r="G56" s="134">
        <f>IF(Ou_Rist_CultSan_ParReale&gt;0,MIN(Ou_Rist_CultSan_ParReale,Ou_Rist_CultSan_ParVirt),Ou_Rist_CultSan_ParVirt)</f>
        <v>0</v>
      </c>
      <c r="H56" s="44"/>
      <c r="I56"/>
    </row>
    <row r="57" spans="1:9" s="5" customFormat="1" ht="12.75" customHeight="1" x14ac:dyDescent="0.2">
      <c r="A57"/>
      <c r="B57" s="776" t="str">
        <f>Parametri_DestUsoPersonalizzazione7</f>
        <v>Attrezzature sportive</v>
      </c>
      <c r="C57" s="777"/>
      <c r="D57" s="605">
        <v>0</v>
      </c>
      <c r="E57" s="132">
        <f>IF(Ou_Rist_AttSpor_CompMet&gt;0,Ou_Rist_AttSpor_CompMet/CostoBase_NuovaEdif,Ou_Rist_AttSpor_ParReale)</f>
        <v>0</v>
      </c>
      <c r="F57" s="477">
        <v>0</v>
      </c>
      <c r="G57" s="134">
        <f>IF(Ou_Rist_AttSpor_ParReale&gt;0,MIN(Ou_Rist_AttSpor_ParReale,Ou_Rist_AttSpor_ParVirt),Ou_Rist_AttSpor_ParVirt)</f>
        <v>0</v>
      </c>
      <c r="H57" s="44"/>
      <c r="I57"/>
    </row>
    <row r="58" spans="1:9" s="5" customFormat="1" ht="12.75" customHeight="1" x14ac:dyDescent="0.2">
      <c r="A58"/>
      <c r="B58" s="776" t="str">
        <f>Parametri_DestUsoPersonalizzazione8</f>
        <v>Attrezzature spettacolo</v>
      </c>
      <c r="C58" s="777"/>
      <c r="D58" s="475">
        <v>0</v>
      </c>
      <c r="E58" s="132">
        <f>IF(Ou_Rist_AttSpet_CompMet&gt;0,Ou_Rist_AttSpet_CompMet/CostoBase_NuovaEdif,Ou_Rist_AttSpet_ParReale)</f>
        <v>0</v>
      </c>
      <c r="F58" s="477">
        <v>0</v>
      </c>
      <c r="G58" s="134">
        <f>IF(Ou_Rist_AttSpet_ParReale&gt;0,MIN(Ou_Rist_AttSpet_ParReale,Ou_Rist_AttSpet_ParVirt),Ou_Rist_AttSpet_ParVirt)</f>
        <v>0</v>
      </c>
      <c r="H58" s="44"/>
      <c r="I58"/>
    </row>
    <row r="59" spans="1:9" s="5" customFormat="1" ht="12.75" customHeight="1" x14ac:dyDescent="0.2">
      <c r="A59"/>
      <c r="B59" s="776" t="str">
        <f>Parametri_DestUsoPersonalizzazione9</f>
        <v>attività industriale</v>
      </c>
      <c r="C59" s="777"/>
      <c r="D59" s="605">
        <v>0</v>
      </c>
      <c r="E59" s="132">
        <f>IF(Ou_Rist_Personalizzazione1_CompMet&gt;0,Ou_Rist_Personalizzazione1_CompMet/CostoBase_NuovaEdif,Ou_Rist_Personalizzazione1_ParReale)</f>
        <v>0</v>
      </c>
      <c r="F59" s="477">
        <v>0</v>
      </c>
      <c r="G59" s="134">
        <f>IF(Ou_Rist_Personalizzazione1_ParReale&gt;0,MIN(Ou_Rist_Personalizzazione1_ParReale,Ou_Rist_Personalizzazione1_ParVirt),Ou_Rist_Personalizzazione1_ParVirt)</f>
        <v>0</v>
      </c>
      <c r="H59" s="44"/>
      <c r="I59"/>
    </row>
    <row r="60" spans="1:9" s="5" customFormat="1" ht="12.75" customHeight="1" x14ac:dyDescent="0.2">
      <c r="A60"/>
      <c r="B60" s="776" t="str">
        <f>Parametri_DestUsoPersonalizzazione10</f>
        <v>Destinazione ulteriore 2</v>
      </c>
      <c r="C60" s="777"/>
      <c r="D60" s="475">
        <v>0</v>
      </c>
      <c r="E60" s="132">
        <f>IF(Ou_Rist_Personalizzazione2_CompMet&gt;0,Ou_Rist_Personalizzazione2_CompMet/CostoBase_NuovaEdif,Ou_Rist_Personalizzazione2_ParReale)</f>
        <v>0</v>
      </c>
      <c r="F60" s="477">
        <v>0</v>
      </c>
      <c r="G60" s="134">
        <f>IF(Ou_Rist_Personalizzazione2_ParReale&gt;0,MIN(Ou_Rist_Personalizzazione2_ParReale,Ou_Rist_Personalizzazione2_ParVirt),Ou_Rist_Personalizzazione2_ParVirt)</f>
        <v>0</v>
      </c>
      <c r="H60" s="44"/>
      <c r="I60"/>
    </row>
    <row r="61" spans="1:9" s="5" customFormat="1" ht="12.75" customHeight="1" x14ac:dyDescent="0.2">
      <c r="A61"/>
      <c r="B61" s="776" t="str">
        <f>Parametri_DestUsoPersonalizzazione11</f>
        <v>Destinazione ulteriore 3</v>
      </c>
      <c r="C61" s="777"/>
      <c r="D61" s="605">
        <v>0</v>
      </c>
      <c r="E61" s="132">
        <f>IF(Ou_Rist_Personalizzazione3_CompMet&gt;0,Ou_Rist_Personalizzazione3_CompMet/CostoBase_NuovaEdif,Ou_Rist_Personalizzazione3_ParReale)</f>
        <v>0</v>
      </c>
      <c r="F61" s="477">
        <v>0</v>
      </c>
      <c r="G61" s="134">
        <f>IF(Ou_Rist_Personalizzazione3_ParReale&gt;0,MIN(Ou_Rist_Personalizzazione3_ParReale,Ou_Rist_Personalizzazione3_ParVirt),Ou_Rist_Personalizzazione3_ParVirt)</f>
        <v>0</v>
      </c>
      <c r="H61" s="44"/>
      <c r="I61"/>
    </row>
    <row r="62" spans="1:9" s="5" customFormat="1" ht="12.75" customHeight="1" x14ac:dyDescent="0.2">
      <c r="A62"/>
      <c r="B62" s="776" t="str">
        <f>Parametri_DestUsoPersonalizzazione12</f>
        <v>Destinazione ulteriore 4</v>
      </c>
      <c r="C62" s="777"/>
      <c r="D62" s="475">
        <v>0</v>
      </c>
      <c r="E62" s="132">
        <f>IF(Ou_Rist_Personalizzazione4_CompMet&gt;0,Ou_Rist_Personalizzazione4_CompMet/CostoBase_NuovaEdif,Ou_Rist_Personalizzazione4_ParReale)</f>
        <v>0</v>
      </c>
      <c r="F62" s="477">
        <v>0</v>
      </c>
      <c r="G62" s="134">
        <f>IF(Ou_Rist_Personalizzazione4_ParReale&gt;0,MIN(Ou_Rist_Personalizzazione4_ParReale,Ou_Rist_Personalizzazione4_ParVirt),Ou_Rist_Personalizzazione4_ParVirt)</f>
        <v>0</v>
      </c>
      <c r="H62" s="44"/>
      <c r="I62"/>
    </row>
    <row r="63" spans="1:9" s="5" customFormat="1" ht="12.75" customHeight="1" x14ac:dyDescent="0.2">
      <c r="A63"/>
      <c r="B63" s="776" t="str">
        <f>Parametri_DestUsoPersonalizzazione13</f>
        <v>Destinazione ulteriore 5</v>
      </c>
      <c r="C63" s="777"/>
      <c r="D63" s="605">
        <v>0</v>
      </c>
      <c r="E63" s="132">
        <f>IF(Ou_Rist_Personalizzazione5_CompMet&gt;0,Ou_Rist_Personalizzazione5_CompMet/CostoBase_NuovaEdif,Ou_Rist_Personalizzazione5_ParReale)</f>
        <v>0</v>
      </c>
      <c r="F63" s="477">
        <v>0</v>
      </c>
      <c r="G63" s="134">
        <f>IF(Ou_Rist_Personalizzazione5_ParReale&gt;0,MIN(Ou_Rist_Personalizzazione5_ParReale,Ou_Rist_Personalizzazione5_ParVirt),Ou_Rist_Personalizzazione5_ParVirt)</f>
        <v>0</v>
      </c>
      <c r="H63" s="44"/>
      <c r="I63"/>
    </row>
    <row r="64" spans="1:9" s="5" customFormat="1" ht="12.75" customHeight="1" x14ac:dyDescent="0.2">
      <c r="A64"/>
      <c r="B64" s="53"/>
      <c r="C64" s="96"/>
      <c r="D64" s="204"/>
      <c r="E64" s="135"/>
      <c r="F64" s="205"/>
      <c r="G64" s="136"/>
      <c r="H64" s="44"/>
      <c r="I64"/>
    </row>
    <row r="65" spans="1:9" s="6" customFormat="1" ht="12.75" customHeight="1" x14ac:dyDescent="0.25">
      <c r="A65" s="28"/>
      <c r="B65" s="889" t="s">
        <v>192</v>
      </c>
      <c r="C65" s="890"/>
      <c r="D65" s="890"/>
      <c r="E65" s="890"/>
      <c r="F65" s="890"/>
      <c r="G65" s="890"/>
      <c r="H65" s="891"/>
      <c r="I65" s="28"/>
    </row>
    <row r="66" spans="1:9" s="5" customFormat="1" ht="12.75" customHeight="1" x14ac:dyDescent="0.2">
      <c r="A66"/>
      <c r="B66" s="882" t="s">
        <v>123</v>
      </c>
      <c r="C66" s="883"/>
      <c r="D66" s="883"/>
      <c r="E66" s="883"/>
      <c r="F66" s="97" t="s">
        <v>196</v>
      </c>
      <c r="G66" s="96" t="s">
        <v>195</v>
      </c>
      <c r="H66" s="44"/>
      <c r="I66"/>
    </row>
    <row r="67" spans="1:9" s="5" customFormat="1" ht="12.75" customHeight="1" x14ac:dyDescent="0.2">
      <c r="A67"/>
      <c r="B67" s="778" t="str">
        <f>Parametri_DestUsoPersonalizzazione1</f>
        <v>Residenziale</v>
      </c>
      <c r="C67" s="785"/>
      <c r="D67" s="785"/>
      <c r="E67" s="779"/>
      <c r="F67" s="470">
        <v>0</v>
      </c>
      <c r="G67" s="478">
        <v>0</v>
      </c>
      <c r="H67" s="44"/>
      <c r="I67" s="614" t="b">
        <f>IF(AND(selezione_passo_descrizione_intervento="x",selezione_cambio_uso="o"),FALSE,TRUE)</f>
        <v>1</v>
      </c>
    </row>
    <row r="68" spans="1:9" s="5" customFormat="1" ht="12.75" customHeight="1" x14ac:dyDescent="0.2">
      <c r="A68"/>
      <c r="B68" s="776" t="str">
        <f>Parametri_DestUsoPersonalizzazione2</f>
        <v>Commerciale direzionale</v>
      </c>
      <c r="C68" s="818"/>
      <c r="D68" s="818"/>
      <c r="E68" s="777"/>
      <c r="F68" s="466">
        <v>0</v>
      </c>
      <c r="G68" s="473">
        <v>0</v>
      </c>
      <c r="H68" s="44"/>
      <c r="I68"/>
    </row>
    <row r="69" spans="1:9" s="5" customFormat="1" ht="12.75" customHeight="1" x14ac:dyDescent="0.2">
      <c r="A69"/>
      <c r="B69" s="776" t="str">
        <f>Parametri_DestUsoPersonalizzazione3</f>
        <v>attività artigianale</v>
      </c>
      <c r="C69" s="818"/>
      <c r="D69" s="818"/>
      <c r="E69" s="777"/>
      <c r="F69" s="466">
        <v>0</v>
      </c>
      <c r="G69" s="473">
        <v>0</v>
      </c>
      <c r="H69" s="44"/>
      <c r="I69"/>
    </row>
    <row r="70" spans="1:9" s="5" customFormat="1" ht="12.75" customHeight="1" x14ac:dyDescent="0.2">
      <c r="A70"/>
      <c r="B70" s="776" t="str">
        <f>Parametri_DestUsoPersonalizzazione4</f>
        <v xml:space="preserve">Industriale alberghiera </v>
      </c>
      <c r="C70" s="818"/>
      <c r="D70" s="818"/>
      <c r="E70" s="777"/>
      <c r="F70" s="466">
        <v>0</v>
      </c>
      <c r="G70" s="473">
        <v>0</v>
      </c>
      <c r="H70" s="44"/>
      <c r="I70"/>
    </row>
    <row r="71" spans="1:9" s="5" customFormat="1" ht="12.75" customHeight="1" x14ac:dyDescent="0.2">
      <c r="A71"/>
      <c r="B71" s="776" t="str">
        <f>Parametri_DestUsoPersonalizzazione5</f>
        <v>Parcheggi, silos (posto auto)</v>
      </c>
      <c r="C71" s="818"/>
      <c r="D71" s="818"/>
      <c r="E71" s="777"/>
      <c r="F71" s="640">
        <v>0</v>
      </c>
      <c r="G71" s="642">
        <v>0</v>
      </c>
      <c r="H71" s="44"/>
      <c r="I71"/>
    </row>
    <row r="72" spans="1:9" s="5" customFormat="1" ht="12.75" customHeight="1" x14ac:dyDescent="0.2">
      <c r="A72"/>
      <c r="B72" s="776" t="str">
        <f>Parametri_DestUsoPersonalizzazione6</f>
        <v>Attrezzature culturali e sanitarie</v>
      </c>
      <c r="C72" s="818"/>
      <c r="D72" s="818"/>
      <c r="E72" s="777"/>
      <c r="F72" s="466">
        <v>0</v>
      </c>
      <c r="G72" s="473">
        <v>0</v>
      </c>
      <c r="H72" s="44"/>
      <c r="I72"/>
    </row>
    <row r="73" spans="1:9" s="5" customFormat="1" ht="12.75" customHeight="1" x14ac:dyDescent="0.2">
      <c r="A73"/>
      <c r="B73" s="776" t="str">
        <f>Parametri_DestUsoPersonalizzazione7</f>
        <v>Attrezzature sportive</v>
      </c>
      <c r="C73" s="818"/>
      <c r="D73" s="818"/>
      <c r="E73" s="777"/>
      <c r="F73" s="466">
        <v>0</v>
      </c>
      <c r="G73" s="473">
        <v>0</v>
      </c>
      <c r="H73" s="44"/>
      <c r="I73"/>
    </row>
    <row r="74" spans="1:9" s="5" customFormat="1" ht="12.75" customHeight="1" x14ac:dyDescent="0.2">
      <c r="A74"/>
      <c r="B74" s="776" t="str">
        <f>Parametri_DestUsoPersonalizzazione8</f>
        <v>Attrezzature spettacolo</v>
      </c>
      <c r="C74" s="818"/>
      <c r="D74" s="818"/>
      <c r="E74" s="777"/>
      <c r="F74" s="466">
        <v>0</v>
      </c>
      <c r="G74" s="473">
        <v>0</v>
      </c>
      <c r="H74" s="44"/>
      <c r="I74"/>
    </row>
    <row r="75" spans="1:9" s="5" customFormat="1" ht="12.75" customHeight="1" x14ac:dyDescent="0.2">
      <c r="A75"/>
      <c r="B75" s="776" t="str">
        <f>Parametri_DestUsoPersonalizzazione9</f>
        <v>attività industriale</v>
      </c>
      <c r="C75" s="818"/>
      <c r="D75" s="818"/>
      <c r="E75" s="777"/>
      <c r="F75" s="466">
        <v>0</v>
      </c>
      <c r="G75" s="473">
        <v>0</v>
      </c>
      <c r="H75" s="44"/>
      <c r="I75"/>
    </row>
    <row r="76" spans="1:9" s="5" customFormat="1" ht="12.75" customHeight="1" x14ac:dyDescent="0.2">
      <c r="A76"/>
      <c r="B76" s="776" t="str">
        <f>Parametri_DestUsoPersonalizzazione10</f>
        <v>Destinazione ulteriore 2</v>
      </c>
      <c r="C76" s="818"/>
      <c r="D76" s="818"/>
      <c r="E76" s="777"/>
      <c r="F76" s="466">
        <v>0</v>
      </c>
      <c r="G76" s="473">
        <v>0</v>
      </c>
      <c r="H76" s="44"/>
      <c r="I76"/>
    </row>
    <row r="77" spans="1:9" s="5" customFormat="1" ht="12.75" customHeight="1" x14ac:dyDescent="0.2">
      <c r="A77"/>
      <c r="B77" s="776" t="str">
        <f>Parametri_DestUsoPersonalizzazione11</f>
        <v>Destinazione ulteriore 3</v>
      </c>
      <c r="C77" s="818"/>
      <c r="D77" s="818"/>
      <c r="E77" s="777"/>
      <c r="F77" s="466">
        <v>0</v>
      </c>
      <c r="G77" s="473">
        <v>0</v>
      </c>
      <c r="H77" s="44"/>
      <c r="I77"/>
    </row>
    <row r="78" spans="1:9" s="5" customFormat="1" ht="12.75" customHeight="1" x14ac:dyDescent="0.2">
      <c r="A78"/>
      <c r="B78" s="776" t="str">
        <f>Parametri_DestUsoPersonalizzazione12</f>
        <v>Destinazione ulteriore 4</v>
      </c>
      <c r="C78" s="818"/>
      <c r="D78" s="818"/>
      <c r="E78" s="777"/>
      <c r="F78" s="466">
        <v>0</v>
      </c>
      <c r="G78" s="473">
        <v>0</v>
      </c>
      <c r="H78" s="44"/>
      <c r="I78"/>
    </row>
    <row r="79" spans="1:9" s="5" customFormat="1" ht="12.75" customHeight="1" x14ac:dyDescent="0.2">
      <c r="A79"/>
      <c r="B79" s="776" t="str">
        <f>Parametri_DestUsoPersonalizzazione13</f>
        <v>Destinazione ulteriore 5</v>
      </c>
      <c r="C79" s="818"/>
      <c r="D79" s="818"/>
      <c r="E79" s="777"/>
      <c r="F79" s="466">
        <v>0</v>
      </c>
      <c r="G79" s="473">
        <v>0</v>
      </c>
      <c r="H79" s="44"/>
      <c r="I79"/>
    </row>
    <row r="80" spans="1:9" s="5" customFormat="1" ht="12.75" customHeight="1" thickBot="1" x14ac:dyDescent="0.25">
      <c r="A80"/>
      <c r="B80" s="87"/>
      <c r="C80" s="71"/>
      <c r="D80" s="71"/>
      <c r="E80" s="71"/>
      <c r="F80" s="71"/>
      <c r="G80" s="71"/>
      <c r="H80" s="56"/>
      <c r="I80"/>
    </row>
    <row r="81" spans="1:250" s="5" customFormat="1" ht="12.75" customHeight="1" thickBot="1" x14ac:dyDescent="0.25">
      <c r="A81"/>
      <c r="B81"/>
      <c r="C81"/>
      <c r="D81"/>
      <c r="E81"/>
      <c r="F81"/>
      <c r="G81"/>
      <c r="H81"/>
      <c r="I81"/>
    </row>
    <row r="82" spans="1:250" s="6" customFormat="1" ht="12.75" customHeight="1" x14ac:dyDescent="0.2">
      <c r="A82" s="28"/>
      <c r="B82" s="788" t="s">
        <v>197</v>
      </c>
      <c r="C82" s="789"/>
      <c r="D82" s="789"/>
      <c r="E82" s="789"/>
      <c r="F82" s="789"/>
      <c r="G82" s="789"/>
      <c r="H82" s="790"/>
      <c r="I82" s="28"/>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row>
    <row r="83" spans="1:250" s="5" customFormat="1" ht="12.75" customHeight="1" x14ac:dyDescent="0.2">
      <c r="A83"/>
      <c r="B83" s="795" t="s">
        <v>200</v>
      </c>
      <c r="C83" s="887"/>
      <c r="D83" s="887"/>
      <c r="E83" s="887"/>
      <c r="F83" s="888"/>
      <c r="G83" s="897" t="s">
        <v>166</v>
      </c>
      <c r="H83" s="44"/>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row>
    <row r="84" spans="1:250" s="5" customFormat="1" ht="12.75" customHeight="1" x14ac:dyDescent="0.2">
      <c r="A84"/>
      <c r="B84" s="894" t="str">
        <f>IF(ZonaMonetizzazioneAreeStand&lt;&gt;"",(VLOOKUP(ZonaMonetizzazioneAreeStand,Parametri_ElencoZoneMatrice,2,FALSE)),"")</f>
        <v>Selezionare la zona</v>
      </c>
      <c r="C84" s="895"/>
      <c r="D84" s="895"/>
      <c r="E84" s="895"/>
      <c r="F84" s="896"/>
      <c r="G84" s="898"/>
      <c r="H84" s="4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c r="IP84"/>
    </row>
    <row r="85" spans="1:250" s="5" customFormat="1" ht="12.75" customHeight="1" x14ac:dyDescent="0.2">
      <c r="A85"/>
      <c r="B85" s="776" t="s">
        <v>100</v>
      </c>
      <c r="C85" s="818"/>
      <c r="D85" s="818"/>
      <c r="E85" s="818"/>
      <c r="F85" s="777"/>
      <c r="G85" s="479">
        <v>0</v>
      </c>
      <c r="H85" s="44"/>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row>
    <row r="86" spans="1:250" s="5" customFormat="1" ht="12.75" customHeight="1" thickBot="1" x14ac:dyDescent="0.25">
      <c r="A86"/>
      <c r="B86" s="87"/>
      <c r="C86" s="71"/>
      <c r="D86" s="71"/>
      <c r="E86" s="71"/>
      <c r="F86" s="71"/>
      <c r="G86" s="71"/>
      <c r="H86" s="5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row>
    <row r="87" spans="1:250" s="40" customFormat="1" ht="12.75" customHeight="1" thickBot="1" x14ac:dyDescent="0.25">
      <c r="B87"/>
      <c r="C87"/>
      <c r="D87"/>
      <c r="E87"/>
      <c r="F87"/>
      <c r="G87"/>
      <c r="H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row>
    <row r="88" spans="1:250" s="5" customFormat="1" ht="12.75" customHeight="1" x14ac:dyDescent="0.2">
      <c r="A88" s="28"/>
      <c r="B88" s="788" t="s">
        <v>198</v>
      </c>
      <c r="C88" s="789"/>
      <c r="D88" s="789"/>
      <c r="E88" s="789"/>
      <c r="F88" s="789"/>
      <c r="G88" s="789"/>
      <c r="H88" s="790"/>
      <c r="I88" s="2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row>
    <row r="89" spans="1:250" s="5" customFormat="1" ht="12.75" customHeight="1" x14ac:dyDescent="0.2">
      <c r="A89"/>
      <c r="B89" s="795" t="s">
        <v>200</v>
      </c>
      <c r="C89" s="887"/>
      <c r="D89" s="887"/>
      <c r="E89" s="887"/>
      <c r="F89" s="888"/>
      <c r="G89" s="897" t="s">
        <v>166</v>
      </c>
      <c r="H89" s="44"/>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row>
    <row r="90" spans="1:250" s="5" customFormat="1" ht="12.75" customHeight="1" x14ac:dyDescent="0.2">
      <c r="A90"/>
      <c r="B90" s="894" t="str">
        <f>IF(ZonaMonetizzazioneParcheg&lt;&gt;"",(VLOOKUP(ZonaMonetizzazioneParcheg,Parametri_ElencoZoneParcheggiMatrice,2,FALSE)),"")</f>
        <v>Selezionare la zona</v>
      </c>
      <c r="C90" s="895"/>
      <c r="D90" s="895"/>
      <c r="E90" s="895"/>
      <c r="F90" s="896"/>
      <c r="G90" s="898"/>
      <c r="H90" s="44"/>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c r="IP90"/>
    </row>
    <row r="91" spans="1:250" s="6" customFormat="1" ht="12.75" customHeight="1" x14ac:dyDescent="0.2">
      <c r="A91"/>
      <c r="B91" s="776" t="s">
        <v>100</v>
      </c>
      <c r="C91" s="818"/>
      <c r="D91" s="818"/>
      <c r="E91" s="818"/>
      <c r="F91" s="777"/>
      <c r="G91" s="480">
        <v>0</v>
      </c>
      <c r="H91" s="44"/>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c r="IP91"/>
    </row>
    <row r="92" spans="1:250" s="5" customFormat="1" ht="12.75" customHeight="1" thickBot="1" x14ac:dyDescent="0.25">
      <c r="A92"/>
      <c r="B92" s="87"/>
      <c r="C92" s="71"/>
      <c r="D92" s="71"/>
      <c r="E92" s="71"/>
      <c r="F92" s="71"/>
      <c r="G92" s="71"/>
      <c r="H92" s="56"/>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c r="IP92"/>
    </row>
    <row r="93" spans="1:250" s="5" customFormat="1" x14ac:dyDescent="0.2">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c r="IP93"/>
    </row>
    <row r="94" spans="1:250" s="6" customFormat="1" hidden="1" x14ac:dyDescent="0.2">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c r="IP94"/>
    </row>
    <row r="95" spans="1:250" s="5" customFormat="1" hidden="1" x14ac:dyDescent="0.2">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c r="IP95"/>
    </row>
    <row r="96" spans="1:250" s="5" customFormat="1" hidden="1" x14ac:dyDescent="0.2">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c r="IP96"/>
    </row>
  </sheetData>
  <sheetProtection password="83CC" sheet="1" objects="1" scenarios="1" formatColumns="0" formatRows="0" insertRows="0"/>
  <dataConsolidate/>
  <mergeCells count="84">
    <mergeCell ref="I6:I7"/>
    <mergeCell ref="B6:F6"/>
    <mergeCell ref="B7:F7"/>
    <mergeCell ref="B30:F30"/>
    <mergeCell ref="B4:F4"/>
    <mergeCell ref="B21:F21"/>
    <mergeCell ref="B22:F22"/>
    <mergeCell ref="B5:F5"/>
    <mergeCell ref="B19:F19"/>
    <mergeCell ref="B16:H16"/>
    <mergeCell ref="B13:F13"/>
    <mergeCell ref="B11:F11"/>
    <mergeCell ref="B74:E74"/>
    <mergeCell ref="G89:G90"/>
    <mergeCell ref="B8:F8"/>
    <mergeCell ref="B12:F12"/>
    <mergeCell ref="B26:F26"/>
    <mergeCell ref="F46:G46"/>
    <mergeCell ref="B25:H25"/>
    <mergeCell ref="B17:F17"/>
    <mergeCell ref="B33:F33"/>
    <mergeCell ref="B28:F28"/>
    <mergeCell ref="B29:F29"/>
    <mergeCell ref="G83:G84"/>
    <mergeCell ref="B31:F31"/>
    <mergeCell ref="B32:F32"/>
    <mergeCell ref="B35:F35"/>
    <mergeCell ref="B75:E75"/>
    <mergeCell ref="B62:C62"/>
    <mergeCell ref="B89:F89"/>
    <mergeCell ref="B90:F90"/>
    <mergeCell ref="B91:F91"/>
    <mergeCell ref="B88:H88"/>
    <mergeCell ref="B68:E68"/>
    <mergeCell ref="B69:E69"/>
    <mergeCell ref="B70:E70"/>
    <mergeCell ref="B71:E71"/>
    <mergeCell ref="B72:E72"/>
    <mergeCell ref="B73:E73"/>
    <mergeCell ref="B85:F85"/>
    <mergeCell ref="B78:E78"/>
    <mergeCell ref="B79:E79"/>
    <mergeCell ref="B83:F83"/>
    <mergeCell ref="B84:F84"/>
    <mergeCell ref="B77:E77"/>
    <mergeCell ref="B82:H82"/>
    <mergeCell ref="B67:E67"/>
    <mergeCell ref="B58:C58"/>
    <mergeCell ref="B43:F43"/>
    <mergeCell ref="B47:C47"/>
    <mergeCell ref="B49:H49"/>
    <mergeCell ref="B50:C50"/>
    <mergeCell ref="B51:C51"/>
    <mergeCell ref="B76:E76"/>
    <mergeCell ref="B59:C59"/>
    <mergeCell ref="B60:C60"/>
    <mergeCell ref="B61:C61"/>
    <mergeCell ref="B65:H65"/>
    <mergeCell ref="B66:E66"/>
    <mergeCell ref="B63:C63"/>
    <mergeCell ref="B1:H1"/>
    <mergeCell ref="B20:F20"/>
    <mergeCell ref="B18:F18"/>
    <mergeCell ref="B9:F9"/>
    <mergeCell ref="B10:F10"/>
    <mergeCell ref="G3:G4"/>
    <mergeCell ref="B2:H2"/>
    <mergeCell ref="B3:F3"/>
    <mergeCell ref="B57:C57"/>
    <mergeCell ref="B23:F23"/>
    <mergeCell ref="B45:H45"/>
    <mergeCell ref="B53:C53"/>
    <mergeCell ref="B54:C54"/>
    <mergeCell ref="B55:C55"/>
    <mergeCell ref="B56:C56"/>
    <mergeCell ref="B52:C52"/>
    <mergeCell ref="B38:F38"/>
    <mergeCell ref="B37:F37"/>
    <mergeCell ref="B36:F36"/>
    <mergeCell ref="B41:H41"/>
    <mergeCell ref="B34:F34"/>
    <mergeCell ref="B27:F27"/>
    <mergeCell ref="B39:F39"/>
    <mergeCell ref="B42:H42"/>
  </mergeCells>
  <phoneticPr fontId="4" type="noConversion"/>
  <conditionalFormatting sqref="D51:D63 F51:F63">
    <cfRule type="expression" dxfId="39" priority="2" stopIfTrue="1">
      <formula>$I$51=FALSE</formula>
    </cfRule>
  </conditionalFormatting>
  <conditionalFormatting sqref="F67:G79">
    <cfRule type="expression" dxfId="38" priority="1" stopIfTrue="1">
      <formula>$I$67=FALSE</formula>
    </cfRule>
  </conditionalFormatting>
  <conditionalFormatting sqref="G3:G13 G17:G23">
    <cfRule type="expression" dxfId="37" priority="4" stopIfTrue="1">
      <formula>$I$14=FALSE</formula>
    </cfRule>
  </conditionalFormatting>
  <conditionalFormatting sqref="G27:G39 D47:F47">
    <cfRule type="expression" dxfId="36" priority="3" stopIfTrue="1">
      <formula>$I$27=FALSE</formula>
    </cfRule>
  </conditionalFormatting>
  <conditionalFormatting sqref="G43">
    <cfRule type="expression" dxfId="35" priority="132" stopIfTrue="1">
      <formula>$I$43=FALSE</formula>
    </cfRule>
  </conditionalFormatting>
  <dataValidations count="5">
    <dataValidation type="list" allowBlank="1" showInputMessage="1" showErrorMessage="1" errorTitle="Zone omogenee" error="Scegliere un valore dalla lista" sqref="D47 G17:G18 G7:G10 G12" xr:uid="{00000000-0002-0000-0300-000000000000}">
      <formula1>"Sì,No"</formula1>
    </dataValidation>
    <dataValidation type="list" allowBlank="1" showInputMessage="1" showErrorMessage="1" sqref="G89" xr:uid="{00000000-0002-0000-0300-000001000000}">
      <formula1>ElencoZoneMonetizzazione_Parcheggi</formula1>
    </dataValidation>
    <dataValidation type="list" allowBlank="1" showInputMessage="1" showErrorMessage="1" errorTitle="Zone omogenee" error="Scegliere un valore dalla lista" sqref="G5" xr:uid="{00000000-0002-0000-0300-000002000000}">
      <formula1>"Si (onerosa),Si (gratuita),No"</formula1>
    </dataValidation>
    <dataValidation type="list" allowBlank="1" showInputMessage="1" showErrorMessage="1" sqref="G3" xr:uid="{00000000-0002-0000-0300-000003000000}">
      <formula1>ElencoZoneTerritoriali</formula1>
    </dataValidation>
    <dataValidation type="list" allowBlank="1" showInputMessage="1" showErrorMessage="1" sqref="G83" xr:uid="{00000000-0002-0000-0300-000004000000}">
      <formula1>ElencoZoneMonetizzazione</formula1>
    </dataValidation>
  </dataValidations>
  <hyperlinks>
    <hyperlink ref="I6:I7" location="'Procedura guidata'!A1" display="Torna alla procedura guidata!" xr:uid="{00000000-0004-0000-0300-000000000000}"/>
  </hyperlinks>
  <printOptions horizontalCentered="1"/>
  <pageMargins left="0.23622047244094491" right="0.23622047244094491" top="0.35433070866141736" bottom="0.35433070866141736" header="0.31496062992125984" footer="0.31496062992125984"/>
  <pageSetup paperSize="9" scale="73" orientation="portrait" r:id="rId1"/>
  <headerFooter alignWithMargins="0"/>
  <cellWatches>
    <cellWatch r="A2"/>
  </cellWatches>
  <ignoredErrors>
    <ignoredError sqref="E58" formula="1"/>
  </ignoredError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Zone omogenee" error="Scegliere un valore dalla lista" xr:uid="{00000000-0002-0000-0300-000005000000}">
          <x14:formula1>
            <xm:f>Parametri!$B$130:$B$133</xm:f>
          </x14:formula1>
          <xm:sqref>G11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66"/>
  </sheetPr>
  <dimension ref="A1:P392"/>
  <sheetViews>
    <sheetView showGridLines="0" zoomScaleNormal="100" workbookViewId="0"/>
  </sheetViews>
  <sheetFormatPr defaultColWidth="0" defaultRowHeight="12.75" zeroHeight="1" x14ac:dyDescent="0.2"/>
  <cols>
    <col min="1" max="2" width="3.28515625" customWidth="1"/>
    <col min="3" max="3" width="14.7109375" customWidth="1"/>
    <col min="4" max="9" width="11.7109375" customWidth="1"/>
    <col min="10" max="10" width="1.7109375" customWidth="1"/>
    <col min="11" max="14" width="5.28515625" customWidth="1"/>
    <col min="15" max="15" width="8.7109375" customWidth="1"/>
    <col min="16" max="16" width="0.85546875" customWidth="1"/>
    <col min="17" max="16384" width="9.140625" hidden="1"/>
  </cols>
  <sheetData>
    <row r="1" spans="2:15" x14ac:dyDescent="0.2"/>
    <row r="2" spans="2:15" ht="15.75" customHeight="1" x14ac:dyDescent="0.2">
      <c r="B2" s="909" t="s">
        <v>358</v>
      </c>
      <c r="C2" s="909"/>
      <c r="D2" s="909"/>
      <c r="E2" s="909"/>
      <c r="F2" s="909"/>
      <c r="G2" s="909"/>
      <c r="H2" s="909"/>
      <c r="I2" s="909"/>
      <c r="J2" s="909"/>
    </row>
    <row r="3" spans="2:15" ht="15.75" customHeight="1" x14ac:dyDescent="0.2">
      <c r="B3" s="909"/>
      <c r="C3" s="909"/>
      <c r="D3" s="909"/>
      <c r="E3" s="909"/>
      <c r="F3" s="909"/>
      <c r="G3" s="909"/>
      <c r="H3" s="909"/>
      <c r="I3" s="909"/>
      <c r="J3" s="909"/>
    </row>
    <row r="4" spans="2:15" ht="15.75" customHeight="1" thickBot="1" x14ac:dyDescent="0.25">
      <c r="B4" s="654"/>
      <c r="C4" s="654"/>
      <c r="D4" s="654"/>
      <c r="E4" s="654"/>
      <c r="F4" s="654"/>
      <c r="G4" s="654"/>
      <c r="H4" s="654"/>
      <c r="I4" s="654"/>
      <c r="J4" s="654"/>
    </row>
    <row r="5" spans="2:15" ht="15.75" customHeight="1" x14ac:dyDescent="0.2">
      <c r="B5" s="654"/>
      <c r="C5" s="912" t="s">
        <v>366</v>
      </c>
      <c r="D5" s="913"/>
      <c r="E5" s="913"/>
      <c r="F5" s="913"/>
      <c r="G5" s="914"/>
      <c r="H5" s="672"/>
      <c r="I5" s="672"/>
      <c r="J5" s="654"/>
    </row>
    <row r="6" spans="2:15" ht="12.75" customHeight="1" x14ac:dyDescent="0.2">
      <c r="B6" s="654"/>
      <c r="C6" s="910" t="s">
        <v>359</v>
      </c>
      <c r="D6" s="911"/>
      <c r="E6" s="911"/>
      <c r="F6" s="911"/>
      <c r="G6" s="666">
        <v>2</v>
      </c>
      <c r="J6" s="654"/>
    </row>
    <row r="7" spans="2:15" ht="12.75" customHeight="1" x14ac:dyDescent="0.2">
      <c r="B7" s="654"/>
      <c r="C7" s="915" t="s">
        <v>367</v>
      </c>
      <c r="D7" s="916"/>
      <c r="E7" s="916"/>
      <c r="F7" s="916"/>
      <c r="G7" s="663">
        <f>dimensione_planimetrica_1_totale</f>
        <v>0</v>
      </c>
      <c r="J7" s="654"/>
    </row>
    <row r="8" spans="2:15" ht="12.75" customHeight="1" x14ac:dyDescent="0.2">
      <c r="B8" s="654"/>
      <c r="C8" s="915" t="s">
        <v>368</v>
      </c>
      <c r="D8" s="916"/>
      <c r="E8" s="916"/>
      <c r="F8" s="916"/>
      <c r="G8" s="663">
        <f>dimensione_planimetrica_2_totale</f>
        <v>0</v>
      </c>
      <c r="J8" s="654"/>
    </row>
    <row r="9" spans="2:15" ht="12.75" customHeight="1" x14ac:dyDescent="0.2">
      <c r="B9" s="654"/>
      <c r="C9" s="915" t="s">
        <v>369</v>
      </c>
      <c r="D9" s="916"/>
      <c r="E9" s="916"/>
      <c r="F9" s="916"/>
      <c r="G9" s="663">
        <f>dimensione_planimetrica_3_totale</f>
        <v>0</v>
      </c>
      <c r="J9" s="654"/>
      <c r="K9" s="923" t="s">
        <v>269</v>
      </c>
      <c r="L9" s="923"/>
      <c r="M9" s="923"/>
      <c r="N9" s="923"/>
    </row>
    <row r="10" spans="2:15" ht="12.75" customHeight="1" x14ac:dyDescent="0.2">
      <c r="B10" s="654"/>
      <c r="C10" s="915" t="s">
        <v>370</v>
      </c>
      <c r="D10" s="916"/>
      <c r="E10" s="916"/>
      <c r="F10" s="916"/>
      <c r="G10" s="663">
        <f>dimensione_planimetrica_4_totale</f>
        <v>0</v>
      </c>
      <c r="J10" s="654"/>
      <c r="K10" s="923"/>
      <c r="L10" s="923"/>
      <c r="M10" s="923"/>
      <c r="N10" s="923"/>
    </row>
    <row r="11" spans="2:15" ht="12.75" customHeight="1" x14ac:dyDescent="0.2">
      <c r="B11" s="654"/>
      <c r="C11" s="915" t="s">
        <v>371</v>
      </c>
      <c r="D11" s="916"/>
      <c r="E11" s="916"/>
      <c r="F11" s="916"/>
      <c r="G11" s="663">
        <f>dimensione_planimetrica_5_totale</f>
        <v>0</v>
      </c>
      <c r="J11" s="654"/>
    </row>
    <row r="12" spans="2:15" ht="12.75" customHeight="1" x14ac:dyDescent="0.2">
      <c r="B12" s="654"/>
      <c r="C12" s="917" t="s">
        <v>372</v>
      </c>
      <c r="D12" s="918"/>
      <c r="E12" s="918"/>
      <c r="F12" s="918"/>
      <c r="G12" s="663">
        <f>SUM(G30,G45,G60,G75,G90,G105,G120,G135,G150,G165,G180,G195,G210,G225,G240,G255,G270,G285,G300,G330,G345,G360,G375,G390)</f>
        <v>0</v>
      </c>
      <c r="J12" s="654"/>
    </row>
    <row r="13" spans="2:15" ht="12.75" customHeight="1" x14ac:dyDescent="0.2">
      <c r="B13" s="654"/>
      <c r="C13" s="917" t="s">
        <v>373</v>
      </c>
      <c r="D13" s="918"/>
      <c r="E13" s="918"/>
      <c r="F13" s="918"/>
      <c r="G13" s="663">
        <f>SUM(H30,H45,H60,H75,H90,H105,H120,H135,H150,H165,H180,H195,H210,H225,H240,H255,H270,H285,H300,H330,H345,H360,H375,H390)</f>
        <v>0</v>
      </c>
      <c r="J13" s="654"/>
      <c r="K13" s="683"/>
      <c r="L13" s="683"/>
      <c r="M13" s="683"/>
      <c r="N13" s="683"/>
      <c r="O13" s="683"/>
    </row>
    <row r="14" spans="2:15" ht="12.75" customHeight="1" x14ac:dyDescent="0.2">
      <c r="B14" s="654"/>
      <c r="C14" s="917" t="s">
        <v>374</v>
      </c>
      <c r="D14" s="918"/>
      <c r="E14" s="918"/>
      <c r="F14" s="918"/>
      <c r="G14" s="663">
        <f>SUM(I30,I45,I60,I75,I90,I105,I120,I135,I150,I165,I180,I195,I210,I225,I240,I255,I270,I285,I300,I330,I345,I360,I375,I390)</f>
        <v>0</v>
      </c>
      <c r="J14" s="654"/>
      <c r="K14" s="683"/>
      <c r="L14" s="683"/>
      <c r="M14" s="683"/>
      <c r="N14" s="683"/>
      <c r="O14" s="683"/>
    </row>
    <row r="15" spans="2:15" ht="12.75" customHeight="1" thickBot="1" x14ac:dyDescent="0.25">
      <c r="B15" s="654"/>
      <c r="C15" s="664"/>
      <c r="D15" s="665"/>
      <c r="E15" s="665"/>
      <c r="F15" s="665"/>
      <c r="G15" s="56"/>
      <c r="J15" s="654"/>
      <c r="K15" s="286"/>
      <c r="L15" s="286"/>
      <c r="M15" s="286"/>
      <c r="N15" s="286"/>
      <c r="O15" s="286"/>
    </row>
    <row r="16" spans="2:15" x14ac:dyDescent="0.2">
      <c r="K16" s="286"/>
      <c r="L16" s="286"/>
      <c r="M16" s="286"/>
      <c r="N16" s="286"/>
      <c r="O16" s="286"/>
    </row>
    <row r="17" spans="1:15" s="683" customFormat="1" ht="15.75" thickBot="1" x14ac:dyDescent="0.3">
      <c r="A17"/>
      <c r="B17"/>
      <c r="C17" s="919" t="s">
        <v>357</v>
      </c>
      <c r="D17" s="919"/>
      <c r="E17" s="652">
        <v>1</v>
      </c>
      <c r="F17" s="655" t="s">
        <v>355</v>
      </c>
      <c r="G17" s="652"/>
      <c r="H17"/>
      <c r="I17"/>
      <c r="J17"/>
      <c r="K17" s="774" t="s">
        <v>111</v>
      </c>
      <c r="L17" s="774"/>
      <c r="M17" s="774"/>
      <c r="N17" s="774"/>
      <c r="O17" s="774"/>
    </row>
    <row r="18" spans="1:15" s="683" customFormat="1" ht="12.75" customHeight="1" x14ac:dyDescent="0.2">
      <c r="A18"/>
      <c r="B18"/>
      <c r="C18" s="920" t="s">
        <v>356</v>
      </c>
      <c r="D18" s="921"/>
      <c r="E18" s="922"/>
      <c r="F18" s="653" t="s">
        <v>111</v>
      </c>
      <c r="G18" s="675" t="s">
        <v>360</v>
      </c>
      <c r="H18" s="675" t="s">
        <v>361</v>
      </c>
      <c r="I18" s="676" t="s">
        <v>362</v>
      </c>
      <c r="J18"/>
      <c r="K18" s="684" t="s">
        <v>9</v>
      </c>
      <c r="L18" s="684" t="s">
        <v>10</v>
      </c>
      <c r="M18" s="684" t="s">
        <v>11</v>
      </c>
      <c r="N18" s="684" t="s">
        <v>12</v>
      </c>
      <c r="O18" s="684" t="s">
        <v>13</v>
      </c>
    </row>
    <row r="19" spans="1:15" s="683" customFormat="1" x14ac:dyDescent="0.2">
      <c r="A19"/>
      <c r="B19"/>
      <c r="C19" s="903"/>
      <c r="D19" s="904"/>
      <c r="E19" s="905"/>
      <c r="F19" s="658"/>
      <c r="G19" s="656"/>
      <c r="H19" s="658"/>
      <c r="I19" s="660"/>
      <c r="J19"/>
      <c r="K19" s="685">
        <f>IF(F30&lt;=95,F30,0)</f>
        <v>0</v>
      </c>
      <c r="L19" s="685">
        <f>IF(F30&gt;95,IF(F30&lt;=110,F30,0),0)</f>
        <v>0</v>
      </c>
      <c r="M19" s="685">
        <f>IF(F30&gt;110,IF(F30&lt;=130,F30,0),0)</f>
        <v>0</v>
      </c>
      <c r="N19" s="685">
        <f>IF(F30&gt;130,IF(F30&lt;=160,F30,0),0)</f>
        <v>0</v>
      </c>
      <c r="O19" s="685">
        <f>IF(F30&gt;160,F30,0)</f>
        <v>0</v>
      </c>
    </row>
    <row r="20" spans="1:15" s="683" customFormat="1" x14ac:dyDescent="0.2">
      <c r="A20"/>
      <c r="B20"/>
      <c r="C20" s="903"/>
      <c r="D20" s="904"/>
      <c r="E20" s="905"/>
      <c r="F20" s="658"/>
      <c r="G20" s="656"/>
      <c r="H20" s="658"/>
      <c r="I20" s="660"/>
      <c r="J20"/>
      <c r="K20" s="685">
        <f>IF(F45&lt;=95,F45,0)</f>
        <v>0</v>
      </c>
      <c r="L20" s="685">
        <f>IF(F45&gt;95,IF(F45&lt;=110,F45,0),0)</f>
        <v>0</v>
      </c>
      <c r="M20" s="685">
        <f>IF(F45&gt;110,IF(F45&lt;=130,F45,0),0)</f>
        <v>0</v>
      </c>
      <c r="N20" s="685">
        <f>IF(F45&gt;130,IF(F45&lt;=160,F45,0),0)</f>
        <v>0</v>
      </c>
      <c r="O20" s="685">
        <f>IF(F45&gt;160,F45,0)</f>
        <v>0</v>
      </c>
    </row>
    <row r="21" spans="1:15" s="683" customFormat="1" x14ac:dyDescent="0.2">
      <c r="A21"/>
      <c r="B21"/>
      <c r="C21" s="903"/>
      <c r="D21" s="904"/>
      <c r="E21" s="905"/>
      <c r="F21" s="658"/>
      <c r="G21" s="656"/>
      <c r="H21" s="658"/>
      <c r="I21" s="660"/>
      <c r="J21"/>
      <c r="K21" s="685">
        <f>IF(F60&lt;=95,F60,0)</f>
        <v>0</v>
      </c>
      <c r="L21" s="685">
        <f>IF(F60&gt;95,IF(F60&lt;=110,F60,0),0)</f>
        <v>0</v>
      </c>
      <c r="M21" s="685">
        <f>IF(F60&gt;110,IF(F60&lt;=130,F60,0),0)</f>
        <v>0</v>
      </c>
      <c r="N21" s="685">
        <f>IF(F60&gt;130,IF(F60&lt;=160,F60,0),0)</f>
        <v>0</v>
      </c>
      <c r="O21" s="685">
        <f>IF(F60&gt;160,F60,0)</f>
        <v>0</v>
      </c>
    </row>
    <row r="22" spans="1:15" s="683" customFormat="1" x14ac:dyDescent="0.2">
      <c r="A22"/>
      <c r="B22"/>
      <c r="C22" s="903"/>
      <c r="D22" s="904"/>
      <c r="E22" s="905"/>
      <c r="F22" s="658"/>
      <c r="G22" s="656"/>
      <c r="H22" s="658"/>
      <c r="I22" s="660"/>
      <c r="J22"/>
      <c r="K22" s="685">
        <f>IF(F75&lt;=95,F75,0)</f>
        <v>0</v>
      </c>
      <c r="L22" s="685">
        <f>IF(F75&gt;95,IF(F75&lt;=110,F75,0),0)</f>
        <v>0</v>
      </c>
      <c r="M22" s="685">
        <f>IF(F75&gt;110,IF(F75&lt;=130,F75,0),0)</f>
        <v>0</v>
      </c>
      <c r="N22" s="685">
        <f>IF(F75&gt;130,IF(F75&lt;=160,F75,0),0)</f>
        <v>0</v>
      </c>
      <c r="O22" s="685">
        <f>IF(F75&gt;160,F75,0)</f>
        <v>0</v>
      </c>
    </row>
    <row r="23" spans="1:15" s="683" customFormat="1" x14ac:dyDescent="0.2">
      <c r="A23"/>
      <c r="B23"/>
      <c r="C23" s="903"/>
      <c r="D23" s="904"/>
      <c r="E23" s="905"/>
      <c r="F23" s="658"/>
      <c r="G23" s="656"/>
      <c r="H23" s="658"/>
      <c r="I23" s="660"/>
      <c r="J23"/>
      <c r="K23" s="685">
        <f>IF(F90&lt;=95,F90,0)</f>
        <v>0</v>
      </c>
      <c r="L23" s="685">
        <f>IF(F90&gt;95,IF(F90&lt;=110,F90,0),0)</f>
        <v>0</v>
      </c>
      <c r="M23" s="685">
        <f>IF(F90&gt;110,IF(F90&lt;=130,F90,0),0)</f>
        <v>0</v>
      </c>
      <c r="N23" s="685">
        <f>IF(F90&gt;130,IF(F90&lt;=160,F90,0),0)</f>
        <v>0</v>
      </c>
      <c r="O23" s="685">
        <f>IF(F90&gt;160,F90,0)</f>
        <v>0</v>
      </c>
    </row>
    <row r="24" spans="1:15" s="683" customFormat="1" x14ac:dyDescent="0.2">
      <c r="A24"/>
      <c r="B24"/>
      <c r="C24" s="903"/>
      <c r="D24" s="904"/>
      <c r="E24" s="905"/>
      <c r="F24" s="658"/>
      <c r="G24" s="656"/>
      <c r="H24" s="658"/>
      <c r="I24" s="660"/>
      <c r="J24"/>
      <c r="K24" s="685">
        <f>IF(F105&lt;=95,F105,0)</f>
        <v>0</v>
      </c>
      <c r="L24" s="685">
        <f>IF(F105&gt;95,IF(F105&lt;=110,F105,0),0)</f>
        <v>0</v>
      </c>
      <c r="M24" s="685">
        <f>IF(F105&gt;110,IF(F105&lt;=130,F105,0),0)</f>
        <v>0</v>
      </c>
      <c r="N24" s="685">
        <f>IF(F105&gt;130,IF(F105&lt;=160,F105,0),0)</f>
        <v>0</v>
      </c>
      <c r="O24" s="685">
        <f>IF(F105&gt;160,F105,0)</f>
        <v>0</v>
      </c>
    </row>
    <row r="25" spans="1:15" s="683" customFormat="1" x14ac:dyDescent="0.2">
      <c r="A25"/>
      <c r="B25"/>
      <c r="C25" s="903"/>
      <c r="D25" s="904"/>
      <c r="E25" s="905"/>
      <c r="F25" s="658"/>
      <c r="G25" s="656"/>
      <c r="H25" s="658"/>
      <c r="I25" s="660"/>
      <c r="J25"/>
      <c r="K25" s="685">
        <f>IF(F120&lt;=95,F120,0)</f>
        <v>0</v>
      </c>
      <c r="L25" s="685">
        <f>IF(F120&gt;95,IF(F120&lt;=110,F120,0),0)</f>
        <v>0</v>
      </c>
      <c r="M25" s="685">
        <f>IF(F120&gt;110,IF(F120&lt;=130,F120,0),0)</f>
        <v>0</v>
      </c>
      <c r="N25" s="685">
        <f>IF(F120&gt;130,IF(F120&lt;=160,F120,0),0)</f>
        <v>0</v>
      </c>
      <c r="O25" s="685">
        <f>IF(F120&gt;160,F120,0)</f>
        <v>0</v>
      </c>
    </row>
    <row r="26" spans="1:15" s="683" customFormat="1" x14ac:dyDescent="0.2">
      <c r="A26"/>
      <c r="B26"/>
      <c r="C26" s="903"/>
      <c r="D26" s="904"/>
      <c r="E26" s="905"/>
      <c r="F26" s="658"/>
      <c r="G26" s="656"/>
      <c r="H26" s="658"/>
      <c r="I26" s="660"/>
      <c r="J26"/>
      <c r="K26" s="685">
        <f>IF(F135&lt;=95,F135,0)</f>
        <v>0</v>
      </c>
      <c r="L26" s="685">
        <f>IF(F135&gt;95,IF(F135&lt;=110,F135,0),0)</f>
        <v>0</v>
      </c>
      <c r="M26" s="685">
        <f>IF(F135&gt;110,IF(F135&lt;=130,F135,0),0)</f>
        <v>0</v>
      </c>
      <c r="N26" s="685">
        <f>IF(F135&gt;130,IF(F135&lt;=160,F135,0),0)</f>
        <v>0</v>
      </c>
      <c r="O26" s="685">
        <f>IF(F135&gt;160,F135,0)</f>
        <v>0</v>
      </c>
    </row>
    <row r="27" spans="1:15" s="683" customFormat="1" x14ac:dyDescent="0.2">
      <c r="A27"/>
      <c r="B27"/>
      <c r="C27" s="903"/>
      <c r="D27" s="904"/>
      <c r="E27" s="905"/>
      <c r="F27" s="658"/>
      <c r="G27" s="656"/>
      <c r="H27" s="658"/>
      <c r="I27" s="660"/>
      <c r="J27"/>
      <c r="K27" s="685">
        <f>IF(F150&lt;=95,F150,0)</f>
        <v>0</v>
      </c>
      <c r="L27" s="685">
        <f>IF(F150&gt;95,IF(F150&lt;=110,F150,0),0)</f>
        <v>0</v>
      </c>
      <c r="M27" s="685">
        <f>IF(F150&gt;110,IF(F150&lt;=130,F150,0),0)</f>
        <v>0</v>
      </c>
      <c r="N27" s="685">
        <f>IF(F150&gt;130,IF(F150&lt;=160,F150,0),0)</f>
        <v>0</v>
      </c>
      <c r="O27" s="685">
        <f>IF(F150&gt;160,F150,0)</f>
        <v>0</v>
      </c>
    </row>
    <row r="28" spans="1:15" s="683" customFormat="1" x14ac:dyDescent="0.2">
      <c r="A28"/>
      <c r="B28"/>
      <c r="C28" s="903"/>
      <c r="D28" s="904"/>
      <c r="E28" s="905"/>
      <c r="F28" s="658"/>
      <c r="G28" s="656"/>
      <c r="H28" s="658"/>
      <c r="I28" s="660"/>
      <c r="J28"/>
      <c r="K28" s="685">
        <f>IF(F165&lt;=95,F165,0)</f>
        <v>0</v>
      </c>
      <c r="L28" s="685">
        <f>IF(F165&gt;95,IF(F165&lt;=110,F165,0),0)</f>
        <v>0</v>
      </c>
      <c r="M28" s="685">
        <f>IF(F165&gt;110,IF(F165&lt;=130,F165,0),0)</f>
        <v>0</v>
      </c>
      <c r="N28" s="685">
        <f>IF(F165&gt;130,IF(F165&lt;=160,F165,0),0)</f>
        <v>0</v>
      </c>
      <c r="O28" s="685">
        <f>IF(F165&gt;160,F165,0)</f>
        <v>0</v>
      </c>
    </row>
    <row r="29" spans="1:15" s="683" customFormat="1" ht="13.5" thickBot="1" x14ac:dyDescent="0.25">
      <c r="A29"/>
      <c r="B29"/>
      <c r="C29" s="906"/>
      <c r="D29" s="907"/>
      <c r="E29" s="908"/>
      <c r="F29" s="661"/>
      <c r="G29" s="673"/>
      <c r="H29" s="661"/>
      <c r="I29" s="662"/>
      <c r="J29"/>
      <c r="K29" s="685">
        <f>IF(F180&lt;=95,F180,0)</f>
        <v>0</v>
      </c>
      <c r="L29" s="685">
        <f>IF(F180&gt;95,IF(F180&lt;=110,F180,0),0)</f>
        <v>0</v>
      </c>
      <c r="M29" s="685">
        <f>IF(F180&gt;110,IF(F180&lt;=130,F180,0),0)</f>
        <v>0</v>
      </c>
      <c r="N29" s="685">
        <f>IF(F180&gt;130,IF(F180&lt;=160,F180,0),0)</f>
        <v>0</v>
      </c>
      <c r="O29" s="685">
        <f>IF(F180&gt;160,F180,0)</f>
        <v>0</v>
      </c>
    </row>
    <row r="30" spans="1:15" s="683" customFormat="1" ht="15.75" thickBot="1" x14ac:dyDescent="0.3">
      <c r="A30"/>
      <c r="B30"/>
      <c r="C30"/>
      <c r="D30"/>
      <c r="E30" s="655" t="s">
        <v>105</v>
      </c>
      <c r="F30" s="657">
        <f>SUM(F19:F29)</f>
        <v>0</v>
      </c>
      <c r="G30" s="674">
        <f>SUM(G19:G29)</f>
        <v>0</v>
      </c>
      <c r="H30" s="657">
        <f>SUM(H19:H29)</f>
        <v>0</v>
      </c>
      <c r="I30" s="657">
        <f>SUM(I19:I29)</f>
        <v>0</v>
      </c>
      <c r="J30"/>
      <c r="K30" s="685">
        <f>IF(F195&lt;=95,F195,0)</f>
        <v>0</v>
      </c>
      <c r="L30" s="685">
        <f>IF(F195&gt;95,IF(F195&lt;=110,F195,0),0)</f>
        <v>0</v>
      </c>
      <c r="M30" s="685">
        <f>IF(F195&gt;110,IF(F195&lt;=130,F195,0),0)</f>
        <v>0</v>
      </c>
      <c r="N30" s="685">
        <f>IF(F195&gt;130,IF(F195&lt;=160,F195,0),0)</f>
        <v>0</v>
      </c>
      <c r="O30" s="685">
        <f>IF(F195&gt;160,F195,0)</f>
        <v>0</v>
      </c>
    </row>
    <row r="31" spans="1:15" s="683" customFormat="1" x14ac:dyDescent="0.2">
      <c r="A31"/>
      <c r="B31"/>
      <c r="C31"/>
      <c r="D31"/>
      <c r="E31"/>
      <c r="F31"/>
      <c r="G31"/>
      <c r="H31"/>
      <c r="I31"/>
      <c r="J31"/>
      <c r="K31" s="685">
        <f>IF(F210&lt;=95,F210,0)</f>
        <v>0</v>
      </c>
      <c r="L31" s="685">
        <f>IF(F210&gt;95,IF(F210&lt;=110,F210,0),0)</f>
        <v>0</v>
      </c>
      <c r="M31" s="685">
        <f>IF(F210&gt;110,IF(F210&lt;=130,F210,0),0)</f>
        <v>0</v>
      </c>
      <c r="N31" s="685">
        <f>IF(F210&gt;130,IF(F210&lt;=160,F210,0),0)</f>
        <v>0</v>
      </c>
      <c r="O31" s="685">
        <f>IF(F210&gt;160,F210,0)</f>
        <v>0</v>
      </c>
    </row>
    <row r="32" spans="1:15" s="683" customFormat="1" ht="15.75" thickBot="1" x14ac:dyDescent="0.3">
      <c r="A32"/>
      <c r="B32"/>
      <c r="C32" s="919" t="s">
        <v>357</v>
      </c>
      <c r="D32" s="919"/>
      <c r="E32" s="652">
        <v>2</v>
      </c>
      <c r="F32" s="655" t="s">
        <v>355</v>
      </c>
      <c r="G32" s="652"/>
      <c r="H32"/>
      <c r="I32"/>
      <c r="J32"/>
      <c r="K32" s="685">
        <f>IF(F225&lt;=95,F225,0)</f>
        <v>0</v>
      </c>
      <c r="L32" s="685">
        <f>IF(F225&gt;95,IF(F225&lt;=110,F225,0),0)</f>
        <v>0</v>
      </c>
      <c r="M32" s="685">
        <f>IF(F225&gt;110,IF(F225&lt;=130,F225,0),0)</f>
        <v>0</v>
      </c>
      <c r="N32" s="685">
        <f>IF(F225&gt;130,IF(F225&lt;=160,F225,0),0)</f>
        <v>0</v>
      </c>
      <c r="O32" s="685">
        <f>IF(F225&gt;160,F225,0)</f>
        <v>0</v>
      </c>
    </row>
    <row r="33" spans="1:15" s="683" customFormat="1" x14ac:dyDescent="0.2">
      <c r="A33"/>
      <c r="B33"/>
      <c r="C33" s="920" t="s">
        <v>356</v>
      </c>
      <c r="D33" s="921"/>
      <c r="E33" s="922"/>
      <c r="F33" s="653" t="s">
        <v>111</v>
      </c>
      <c r="G33" s="675" t="s">
        <v>360</v>
      </c>
      <c r="H33" s="675" t="s">
        <v>361</v>
      </c>
      <c r="I33" s="676" t="s">
        <v>362</v>
      </c>
      <c r="J33"/>
      <c r="K33" s="685">
        <f>IF(F240&lt;=95,F240,0)</f>
        <v>0</v>
      </c>
      <c r="L33" s="685">
        <f>IF(F240&gt;95,IF(F240&lt;=110,F240,0),0)</f>
        <v>0</v>
      </c>
      <c r="M33" s="685">
        <f>IF(F240&gt;110,IF(F240&lt;=130,F240,0),0)</f>
        <v>0</v>
      </c>
      <c r="N33" s="685">
        <f>IF(F240&gt;130,IF(F240&lt;=160,F240,0),0)</f>
        <v>0</v>
      </c>
      <c r="O33" s="685">
        <f>IF(F240&gt;160,F240,0)</f>
        <v>0</v>
      </c>
    </row>
    <row r="34" spans="1:15" s="683" customFormat="1" x14ac:dyDescent="0.2">
      <c r="A34"/>
      <c r="B34"/>
      <c r="C34" s="903"/>
      <c r="D34" s="904"/>
      <c r="E34" s="905"/>
      <c r="F34" s="658"/>
      <c r="G34" s="658"/>
      <c r="H34" s="677"/>
      <c r="I34" s="660"/>
      <c r="J34"/>
      <c r="K34" s="685">
        <f>IF(F255&lt;=95,F255,0)</f>
        <v>0</v>
      </c>
      <c r="L34" s="685">
        <f>IF(F255&gt;95,IF(F255&lt;=110,F255,0),0)</f>
        <v>0</v>
      </c>
      <c r="M34" s="685">
        <f>IF(F255&gt;110,IF(F255&lt;=130,F255,0),0)</f>
        <v>0</v>
      </c>
      <c r="N34" s="685">
        <f>IF(F255&gt;130,IF(F255&lt;=160,F255,0),0)</f>
        <v>0</v>
      </c>
      <c r="O34" s="685">
        <f>IF(F255&gt;160,F255,0)</f>
        <v>0</v>
      </c>
    </row>
    <row r="35" spans="1:15" s="683" customFormat="1" x14ac:dyDescent="0.2">
      <c r="A35"/>
      <c r="B35"/>
      <c r="C35" s="903"/>
      <c r="D35" s="904"/>
      <c r="E35" s="905"/>
      <c r="F35" s="658"/>
      <c r="G35" s="658"/>
      <c r="H35" s="677"/>
      <c r="I35" s="660"/>
      <c r="J35"/>
      <c r="K35" s="685">
        <f>IF(F270&lt;=95,F270,0)</f>
        <v>0</v>
      </c>
      <c r="L35" s="685">
        <f>IF(F270&gt;95,IF(F270&lt;=110,F270,0),0)</f>
        <v>0</v>
      </c>
      <c r="M35" s="685">
        <f>IF(F270&gt;110,IF(F270&lt;=130,F270,0),0)</f>
        <v>0</v>
      </c>
      <c r="N35" s="685">
        <f>IF(F270&gt;130,IF(F270&lt;=160,F270,0),0)</f>
        <v>0</v>
      </c>
      <c r="O35" s="685">
        <f>IF(F270&gt;160,F270,0)</f>
        <v>0</v>
      </c>
    </row>
    <row r="36" spans="1:15" s="683" customFormat="1" x14ac:dyDescent="0.2">
      <c r="A36"/>
      <c r="B36"/>
      <c r="C36" s="903"/>
      <c r="D36" s="904"/>
      <c r="E36" s="905"/>
      <c r="F36" s="658"/>
      <c r="G36" s="658"/>
      <c r="H36" s="677"/>
      <c r="I36" s="660"/>
      <c r="J36"/>
      <c r="K36" s="685">
        <f>IF(F285&lt;=95,F285,0)</f>
        <v>0</v>
      </c>
      <c r="L36" s="685">
        <f>IF(F285&gt;95,IF(F285&lt;=110,F285,0),0)</f>
        <v>0</v>
      </c>
      <c r="M36" s="685">
        <f>IF(F285&gt;110,IF(F285&lt;=130,F285,0),0)</f>
        <v>0</v>
      </c>
      <c r="N36" s="685">
        <f>IF(F285&gt;130,IF(F285&lt;=160,F285,0),0)</f>
        <v>0</v>
      </c>
      <c r="O36" s="685">
        <f>IF(F285&gt;160,F285,0)</f>
        <v>0</v>
      </c>
    </row>
    <row r="37" spans="1:15" s="683" customFormat="1" x14ac:dyDescent="0.2">
      <c r="A37"/>
      <c r="B37"/>
      <c r="C37" s="903"/>
      <c r="D37" s="904"/>
      <c r="E37" s="905"/>
      <c r="F37" s="658"/>
      <c r="G37" s="658"/>
      <c r="H37" s="677"/>
      <c r="I37" s="660"/>
      <c r="J37"/>
      <c r="K37" s="685">
        <f>IF(F300&lt;=95,F300,0)</f>
        <v>0</v>
      </c>
      <c r="L37" s="685">
        <f>IF(F300&gt;95,IF(F300&lt;=110,F300,0),0)</f>
        <v>0</v>
      </c>
      <c r="M37" s="685">
        <f>IF(F300&gt;110,IF(F300&lt;=130,F300,0),0)</f>
        <v>0</v>
      </c>
      <c r="N37" s="685">
        <f>IF(F300&gt;130,IF(F300&lt;=160,F300,0),0)</f>
        <v>0</v>
      </c>
      <c r="O37" s="685">
        <f>IF(F300&gt;160,F300,0)</f>
        <v>0</v>
      </c>
    </row>
    <row r="38" spans="1:15" s="683" customFormat="1" x14ac:dyDescent="0.2">
      <c r="A38"/>
      <c r="B38"/>
      <c r="C38" s="903"/>
      <c r="D38" s="904"/>
      <c r="E38" s="905"/>
      <c r="F38" s="658"/>
      <c r="G38" s="658"/>
      <c r="H38" s="677"/>
      <c r="I38" s="660"/>
      <c r="J38"/>
      <c r="K38" s="685">
        <f>IF(F315&lt;=95,F315,0)</f>
        <v>0</v>
      </c>
      <c r="L38" s="685">
        <f>IF(F315&gt;95,IF(F315&lt;=110,F315,0),0)</f>
        <v>0</v>
      </c>
      <c r="M38" s="685">
        <f>IF(F315&gt;110,IF(F315&lt;=130,F315,0),0)</f>
        <v>0</v>
      </c>
      <c r="N38" s="685">
        <f>IF(F315&gt;130,IF(F315&lt;=160,F315,0),0)</f>
        <v>0</v>
      </c>
      <c r="O38" s="685">
        <f>IF(F315&gt;160,F315,0)</f>
        <v>0</v>
      </c>
    </row>
    <row r="39" spans="1:15" x14ac:dyDescent="0.2">
      <c r="C39" s="903"/>
      <c r="D39" s="904"/>
      <c r="E39" s="905"/>
      <c r="F39" s="658"/>
      <c r="G39" s="658"/>
      <c r="H39" s="677"/>
      <c r="I39" s="660"/>
      <c r="K39" s="685">
        <f>IF(F330&lt;=95,F330,0)</f>
        <v>0</v>
      </c>
      <c r="L39" s="685">
        <f>IF(F330&gt;95,IF(F330&lt;=110,F330,0),0)</f>
        <v>0</v>
      </c>
      <c r="M39" s="685">
        <f>IF(F330&gt;110,IF(F330&lt;=130,F330,0),0)</f>
        <v>0</v>
      </c>
      <c r="N39" s="685">
        <f>IF(F330&gt;130,IF(F330&lt;=160,F330,0),0)</f>
        <v>0</v>
      </c>
      <c r="O39" s="685">
        <f>IF(F330&gt;160,F330,0)</f>
        <v>0</v>
      </c>
    </row>
    <row r="40" spans="1:15" x14ac:dyDescent="0.2">
      <c r="C40" s="903"/>
      <c r="D40" s="904"/>
      <c r="E40" s="905"/>
      <c r="F40" s="658"/>
      <c r="G40" s="658"/>
      <c r="H40" s="677"/>
      <c r="I40" s="660"/>
      <c r="K40" s="685">
        <f>IF(F345&lt;=95,F345,0)</f>
        <v>0</v>
      </c>
      <c r="L40" s="685">
        <f>IF(345&gt;95,IF(F345&lt;=110,F345,0),0)</f>
        <v>0</v>
      </c>
      <c r="M40" s="685">
        <f>IF(F345&gt;110,IF(F345&lt;=130,F345,0),0)</f>
        <v>0</v>
      </c>
      <c r="N40" s="685">
        <f>IF(F345&gt;130,IF(F345&lt;=160,F345,0),0)</f>
        <v>0</v>
      </c>
      <c r="O40" s="685">
        <f>IF(F345&gt;160,F345,0)</f>
        <v>0</v>
      </c>
    </row>
    <row r="41" spans="1:15" x14ac:dyDescent="0.2">
      <c r="C41" s="903"/>
      <c r="D41" s="904"/>
      <c r="E41" s="905"/>
      <c r="F41" s="658"/>
      <c r="G41" s="658"/>
      <c r="H41" s="677"/>
      <c r="I41" s="660"/>
      <c r="K41" s="685">
        <f>IF(F360&lt;=95,F360,0)</f>
        <v>0</v>
      </c>
      <c r="L41" s="685">
        <f>IF(F360&gt;95,IF(F360&lt;=110,F360,0),0)</f>
        <v>0</v>
      </c>
      <c r="M41" s="685">
        <f>IF(F360&gt;110,IF(F360&lt;=130,F360,0),0)</f>
        <v>0</v>
      </c>
      <c r="N41" s="685">
        <f>IF(F360&gt;130,IF(F360&lt;=160,F360,0),0)</f>
        <v>0</v>
      </c>
      <c r="O41" s="685">
        <f>IF(F360&gt;160,F360,0)</f>
        <v>0</v>
      </c>
    </row>
    <row r="42" spans="1:15" x14ac:dyDescent="0.2">
      <c r="C42" s="903"/>
      <c r="D42" s="904"/>
      <c r="E42" s="905"/>
      <c r="F42" s="658"/>
      <c r="G42" s="658"/>
      <c r="H42" s="677"/>
      <c r="I42" s="660"/>
      <c r="K42" s="685">
        <f>IF(F375&lt;=95,F375,0)</f>
        <v>0</v>
      </c>
      <c r="L42" s="685">
        <f>IF(F375&gt;95,IF(F375&lt;=110,F375,0),0)</f>
        <v>0</v>
      </c>
      <c r="M42" s="685">
        <f>IF(F375&gt;110,IF(F375&lt;=130,F375,0),0)</f>
        <v>0</v>
      </c>
      <c r="N42" s="685">
        <f>IF(F375&gt;130,IF(F375&lt;=160,F375,0),0)</f>
        <v>0</v>
      </c>
      <c r="O42" s="685">
        <f>IF(F375&gt;160,F375,0)</f>
        <v>0</v>
      </c>
    </row>
    <row r="43" spans="1:15" x14ac:dyDescent="0.2">
      <c r="C43" s="903"/>
      <c r="D43" s="904"/>
      <c r="E43" s="905"/>
      <c r="F43" s="658"/>
      <c r="G43" s="658"/>
      <c r="H43" s="677"/>
      <c r="I43" s="660"/>
      <c r="K43" s="685">
        <f>IF(F390&lt;=95,F390,0)</f>
        <v>0</v>
      </c>
      <c r="L43" s="685">
        <f>IF(F390&gt;95,IF(F390&lt;=110,F390,0),0)</f>
        <v>0</v>
      </c>
      <c r="M43" s="685">
        <f>IF(F390&gt;110,IF(F390&lt;=130,F390,0),0)</f>
        <v>0</v>
      </c>
      <c r="N43" s="685">
        <f>IF(F390&gt;130,IF(F390&lt;=160,F390,0),0)</f>
        <v>0</v>
      </c>
      <c r="O43" s="685">
        <f>IF(F390&gt;160,F390,0)</f>
        <v>0</v>
      </c>
    </row>
    <row r="44" spans="1:15" ht="13.5" thickBot="1" x14ac:dyDescent="0.25">
      <c r="C44" s="906"/>
      <c r="D44" s="907"/>
      <c r="E44" s="908"/>
      <c r="F44" s="661"/>
      <c r="G44" s="661"/>
      <c r="H44" s="678"/>
      <c r="I44" s="662"/>
      <c r="K44" s="686">
        <f>SUM(K19:K43)</f>
        <v>0</v>
      </c>
      <c r="L44" s="686">
        <f>SUM(L19:L43)</f>
        <v>0</v>
      </c>
      <c r="M44" s="686">
        <f>SUM(M19:M43)</f>
        <v>0</v>
      </c>
      <c r="N44" s="686">
        <f>SUM(N19:N43)</f>
        <v>0</v>
      </c>
      <c r="O44" s="686">
        <f>SUM(O19:O43)</f>
        <v>0</v>
      </c>
    </row>
    <row r="45" spans="1:15" ht="15.75" thickBot="1" x14ac:dyDescent="0.3">
      <c r="E45" s="655" t="s">
        <v>105</v>
      </c>
      <c r="F45" s="657">
        <f>SUM(F34:F44)</f>
        <v>0</v>
      </c>
      <c r="G45" s="657">
        <f>SUM(G34:G44)</f>
        <v>0</v>
      </c>
      <c r="H45" s="679">
        <f>SUM(H34:H44)</f>
        <v>0</v>
      </c>
      <c r="I45" s="657">
        <f>SUM(I34:I44)</f>
        <v>0</v>
      </c>
      <c r="K45" s="667"/>
      <c r="L45" s="667"/>
      <c r="M45" s="667"/>
      <c r="N45" s="667"/>
      <c r="O45" s="667"/>
    </row>
    <row r="46" spans="1:15" x14ac:dyDescent="0.2">
      <c r="K46" s="667"/>
      <c r="L46" s="667"/>
      <c r="M46" s="667"/>
      <c r="N46" s="667"/>
      <c r="O46" s="667"/>
    </row>
    <row r="47" spans="1:15" ht="15.75" thickBot="1" x14ac:dyDescent="0.3">
      <c r="C47" s="919" t="s">
        <v>357</v>
      </c>
      <c r="D47" s="919"/>
      <c r="E47" s="652">
        <v>3</v>
      </c>
      <c r="F47" s="655" t="s">
        <v>355</v>
      </c>
      <c r="G47" s="652"/>
      <c r="K47" s="667"/>
      <c r="L47" s="667"/>
      <c r="M47" s="667"/>
      <c r="N47" s="667"/>
      <c r="O47" s="667"/>
    </row>
    <row r="48" spans="1:15" x14ac:dyDescent="0.2">
      <c r="C48" s="920" t="s">
        <v>356</v>
      </c>
      <c r="D48" s="921"/>
      <c r="E48" s="922"/>
      <c r="F48" s="653" t="s">
        <v>111</v>
      </c>
      <c r="G48" s="675" t="s">
        <v>360</v>
      </c>
      <c r="H48" s="675" t="s">
        <v>361</v>
      </c>
      <c r="I48" s="676" t="s">
        <v>362</v>
      </c>
      <c r="K48" s="667"/>
      <c r="L48" s="667"/>
      <c r="M48" s="667"/>
      <c r="N48" s="667"/>
      <c r="O48" s="667"/>
    </row>
    <row r="49" spans="3:15" x14ac:dyDescent="0.2">
      <c r="C49" s="903"/>
      <c r="D49" s="904"/>
      <c r="E49" s="905"/>
      <c r="F49" s="658"/>
      <c r="G49" s="658"/>
      <c r="H49" s="658"/>
      <c r="I49" s="660"/>
      <c r="K49" s="667"/>
      <c r="L49" s="667"/>
      <c r="M49" s="667"/>
      <c r="N49" s="667"/>
      <c r="O49" s="667"/>
    </row>
    <row r="50" spans="3:15" x14ac:dyDescent="0.2">
      <c r="C50" s="903"/>
      <c r="D50" s="904"/>
      <c r="E50" s="905"/>
      <c r="F50" s="658"/>
      <c r="G50" s="658"/>
      <c r="H50" s="658"/>
      <c r="I50" s="660"/>
      <c r="K50" s="687"/>
      <c r="L50" s="687"/>
      <c r="M50" s="687"/>
      <c r="N50" s="687"/>
      <c r="O50" s="687"/>
    </row>
    <row r="51" spans="3:15" ht="12.75" customHeight="1" x14ac:dyDescent="0.2">
      <c r="C51" s="903"/>
      <c r="D51" s="904"/>
      <c r="E51" s="905"/>
      <c r="F51" s="658"/>
      <c r="G51" s="658"/>
      <c r="H51" s="658"/>
      <c r="I51" s="660"/>
      <c r="K51" s="927" t="s">
        <v>363</v>
      </c>
      <c r="L51" s="928"/>
      <c r="M51" s="928"/>
      <c r="N51" s="929"/>
      <c r="O51" s="925">
        <f>G30+G45+G60+G75+G90+G105+G120+G135+G150+G165+G180+G195+G210+G225+G240+G255+G270+G285+G300+G315+G330+G345+G360+G375+G390</f>
        <v>0</v>
      </c>
    </row>
    <row r="52" spans="3:15" x14ac:dyDescent="0.2">
      <c r="C52" s="903"/>
      <c r="D52" s="904"/>
      <c r="E52" s="905"/>
      <c r="F52" s="658"/>
      <c r="G52" s="658"/>
      <c r="H52" s="658"/>
      <c r="I52" s="660"/>
      <c r="K52" s="930"/>
      <c r="L52" s="931"/>
      <c r="M52" s="931"/>
      <c r="N52" s="932"/>
      <c r="O52" s="926"/>
    </row>
    <row r="53" spans="3:15" ht="12.75" customHeight="1" x14ac:dyDescent="0.2">
      <c r="C53" s="903"/>
      <c r="D53" s="904"/>
      <c r="E53" s="905"/>
      <c r="F53" s="658"/>
      <c r="G53" s="658"/>
      <c r="H53" s="658"/>
      <c r="I53" s="660"/>
      <c r="K53" s="927" t="s">
        <v>364</v>
      </c>
      <c r="L53" s="928"/>
      <c r="M53" s="928"/>
      <c r="N53" s="929"/>
      <c r="O53" s="925">
        <f>H30+H45+H60+H75+H90+H105+H120+H135+H150+H165+H180+H195+H210+H225+H240+H255+H270+H285+H300+H315+H330+H345+H360+H375+H390</f>
        <v>0</v>
      </c>
    </row>
    <row r="54" spans="3:15" x14ac:dyDescent="0.2">
      <c r="C54" s="903"/>
      <c r="D54" s="904"/>
      <c r="E54" s="905"/>
      <c r="F54" s="658"/>
      <c r="G54" s="658"/>
      <c r="H54" s="658"/>
      <c r="I54" s="660"/>
      <c r="K54" s="930"/>
      <c r="L54" s="931"/>
      <c r="M54" s="931"/>
      <c r="N54" s="932"/>
      <c r="O54" s="926"/>
    </row>
    <row r="55" spans="3:15" x14ac:dyDescent="0.2">
      <c r="C55" s="903"/>
      <c r="D55" s="904"/>
      <c r="E55" s="905"/>
      <c r="F55" s="658"/>
      <c r="G55" s="658"/>
      <c r="H55" s="658"/>
      <c r="I55" s="660"/>
      <c r="K55" s="933" t="s">
        <v>365</v>
      </c>
      <c r="L55" s="933"/>
      <c r="M55" s="933"/>
      <c r="N55" s="933"/>
      <c r="O55" s="688">
        <f>I30+I45+I60+I75+I90+I105+I120+I135+I150+I165+I180+I195+I210+I225+I240+I255+I270+I285+I300+I315+I330+I345+I360+I375+I390</f>
        <v>0</v>
      </c>
    </row>
    <row r="56" spans="3:15" x14ac:dyDescent="0.2">
      <c r="C56" s="903"/>
      <c r="D56" s="904"/>
      <c r="E56" s="905"/>
      <c r="F56" s="658"/>
      <c r="G56" s="658"/>
      <c r="H56" s="658"/>
      <c r="I56" s="660"/>
      <c r="K56" s="667"/>
      <c r="L56" s="667"/>
      <c r="M56" s="667"/>
      <c r="N56" s="667"/>
      <c r="O56" s="667"/>
    </row>
    <row r="57" spans="3:15" x14ac:dyDescent="0.2">
      <c r="C57" s="903"/>
      <c r="D57" s="904"/>
      <c r="E57" s="905"/>
      <c r="F57" s="658"/>
      <c r="G57" s="658"/>
      <c r="H57" s="658"/>
      <c r="I57" s="660"/>
      <c r="K57" s="924" t="s">
        <v>376</v>
      </c>
      <c r="L57" s="924"/>
      <c r="M57" s="924"/>
      <c r="N57" s="924"/>
      <c r="O57" s="696">
        <f>'Determinazione classe'!D6+'Determinazione classe'!D7+'Determinazione classe'!D8+'Determinazione classe'!D9+'Determinazione classe'!D10</f>
        <v>0</v>
      </c>
    </row>
    <row r="58" spans="3:15" x14ac:dyDescent="0.2">
      <c r="C58" s="903"/>
      <c r="D58" s="904"/>
      <c r="E58" s="905"/>
      <c r="F58" s="658"/>
      <c r="G58" s="658"/>
      <c r="H58" s="658"/>
      <c r="I58" s="660"/>
      <c r="K58" s="924" t="s">
        <v>377</v>
      </c>
      <c r="L58" s="924"/>
      <c r="M58" s="924"/>
      <c r="N58" s="924"/>
      <c r="O58" s="696">
        <f>dimensione_planimetrica_1_totale+dimensione_planimetrica_2_totale+dimensione_planimetrica_3_totale+dimensione_planimetrica_4_totale+dimensione_planimetrica_5_totale</f>
        <v>0</v>
      </c>
    </row>
    <row r="59" spans="3:15" ht="13.5" thickBot="1" x14ac:dyDescent="0.25">
      <c r="C59" s="906"/>
      <c r="D59" s="907"/>
      <c r="E59" s="908"/>
      <c r="F59" s="661"/>
      <c r="G59" s="661"/>
      <c r="H59" s="661"/>
      <c r="I59" s="662"/>
      <c r="K59" s="924" t="s">
        <v>378</v>
      </c>
      <c r="L59" s="924"/>
      <c r="M59" s="924"/>
      <c r="N59" s="924"/>
      <c r="O59" s="696">
        <f>dimensione_planimetrica_snr1_totale+dimensione_planimetrica_snr2_totale+dimensione_planimetrica_snr3_totale</f>
        <v>0</v>
      </c>
    </row>
    <row r="60" spans="3:15" ht="15.75" thickBot="1" x14ac:dyDescent="0.3">
      <c r="E60" s="655" t="s">
        <v>105</v>
      </c>
      <c r="F60" s="657">
        <f>SUM(F49:F59)</f>
        <v>0</v>
      </c>
      <c r="G60" s="657">
        <f>SUM(G49:G59)</f>
        <v>0</v>
      </c>
      <c r="H60" s="657">
        <f>SUM(H49:H59)</f>
        <v>0</v>
      </c>
      <c r="I60" s="657">
        <f>SUM(I49:I59)</f>
        <v>0</v>
      </c>
      <c r="K60" s="286"/>
      <c r="L60" s="286"/>
      <c r="M60" s="286"/>
      <c r="N60" s="286"/>
      <c r="O60" s="697"/>
    </row>
    <row r="61" spans="3:15" x14ac:dyDescent="0.2"/>
    <row r="62" spans="3:15" ht="15.75" thickBot="1" x14ac:dyDescent="0.3">
      <c r="C62" s="919" t="s">
        <v>357</v>
      </c>
      <c r="D62" s="919"/>
      <c r="E62" s="652">
        <v>4</v>
      </c>
      <c r="F62" s="655" t="s">
        <v>355</v>
      </c>
      <c r="G62" s="652"/>
    </row>
    <row r="63" spans="3:15" x14ac:dyDescent="0.2">
      <c r="C63" s="920" t="s">
        <v>356</v>
      </c>
      <c r="D63" s="921"/>
      <c r="E63" s="922"/>
      <c r="F63" s="653" t="s">
        <v>111</v>
      </c>
      <c r="G63" s="675" t="s">
        <v>360</v>
      </c>
      <c r="H63" s="675" t="s">
        <v>361</v>
      </c>
      <c r="I63" s="676" t="s">
        <v>362</v>
      </c>
    </row>
    <row r="64" spans="3:15" x14ac:dyDescent="0.2">
      <c r="C64" s="903"/>
      <c r="D64" s="904"/>
      <c r="E64" s="905"/>
      <c r="F64" s="658"/>
      <c r="G64" s="658"/>
      <c r="H64" s="658"/>
      <c r="I64" s="660"/>
    </row>
    <row r="65" spans="3:9" x14ac:dyDescent="0.2">
      <c r="C65" s="903"/>
      <c r="D65" s="904"/>
      <c r="E65" s="905"/>
      <c r="F65" s="658"/>
      <c r="G65" s="658"/>
      <c r="H65" s="658"/>
      <c r="I65" s="660"/>
    </row>
    <row r="66" spans="3:9" x14ac:dyDescent="0.2">
      <c r="C66" s="903"/>
      <c r="D66" s="904"/>
      <c r="E66" s="905"/>
      <c r="F66" s="658"/>
      <c r="G66" s="658"/>
      <c r="H66" s="658"/>
      <c r="I66" s="660"/>
    </row>
    <row r="67" spans="3:9" x14ac:dyDescent="0.2">
      <c r="C67" s="903"/>
      <c r="D67" s="904"/>
      <c r="E67" s="905"/>
      <c r="F67" s="658"/>
      <c r="G67" s="658"/>
      <c r="H67" s="658"/>
      <c r="I67" s="660"/>
    </row>
    <row r="68" spans="3:9" x14ac:dyDescent="0.2">
      <c r="C68" s="903"/>
      <c r="D68" s="904"/>
      <c r="E68" s="905"/>
      <c r="F68" s="658"/>
      <c r="G68" s="658"/>
      <c r="H68" s="658"/>
      <c r="I68" s="660"/>
    </row>
    <row r="69" spans="3:9" x14ac:dyDescent="0.2">
      <c r="C69" s="903"/>
      <c r="D69" s="904"/>
      <c r="E69" s="905"/>
      <c r="F69" s="658"/>
      <c r="G69" s="658"/>
      <c r="H69" s="658"/>
      <c r="I69" s="660"/>
    </row>
    <row r="70" spans="3:9" x14ac:dyDescent="0.2">
      <c r="C70" s="903"/>
      <c r="D70" s="904"/>
      <c r="E70" s="905"/>
      <c r="F70" s="658"/>
      <c r="G70" s="658"/>
      <c r="H70" s="658"/>
      <c r="I70" s="660"/>
    </row>
    <row r="71" spans="3:9" x14ac:dyDescent="0.2">
      <c r="C71" s="903"/>
      <c r="D71" s="904"/>
      <c r="E71" s="905"/>
      <c r="F71" s="658"/>
      <c r="G71" s="658"/>
      <c r="H71" s="658"/>
      <c r="I71" s="660"/>
    </row>
    <row r="72" spans="3:9" x14ac:dyDescent="0.2">
      <c r="C72" s="903"/>
      <c r="D72" s="904"/>
      <c r="E72" s="905"/>
      <c r="F72" s="658"/>
      <c r="G72" s="658"/>
      <c r="H72" s="658"/>
      <c r="I72" s="660"/>
    </row>
    <row r="73" spans="3:9" x14ac:dyDescent="0.2">
      <c r="C73" s="903"/>
      <c r="D73" s="904"/>
      <c r="E73" s="905"/>
      <c r="F73" s="658"/>
      <c r="G73" s="658"/>
      <c r="H73" s="658"/>
      <c r="I73" s="660"/>
    </row>
    <row r="74" spans="3:9" ht="13.5" thickBot="1" x14ac:dyDescent="0.25">
      <c r="C74" s="906"/>
      <c r="D74" s="907"/>
      <c r="E74" s="908"/>
      <c r="F74" s="661"/>
      <c r="G74" s="661"/>
      <c r="H74" s="661"/>
      <c r="I74" s="662"/>
    </row>
    <row r="75" spans="3:9" ht="15.75" thickBot="1" x14ac:dyDescent="0.3">
      <c r="E75" s="655" t="s">
        <v>105</v>
      </c>
      <c r="F75" s="657">
        <f>SUM(F64:F74)</f>
        <v>0</v>
      </c>
      <c r="G75" s="657">
        <f>SUM(G64:G74)</f>
        <v>0</v>
      </c>
      <c r="H75" s="657">
        <f>SUM(H64:H74)</f>
        <v>0</v>
      </c>
      <c r="I75" s="657">
        <f>SUM(I64:I74)</f>
        <v>0</v>
      </c>
    </row>
    <row r="76" spans="3:9" x14ac:dyDescent="0.2"/>
    <row r="77" spans="3:9" ht="15.75" thickBot="1" x14ac:dyDescent="0.3">
      <c r="C77" s="919" t="s">
        <v>357</v>
      </c>
      <c r="D77" s="919"/>
      <c r="E77" s="652">
        <v>5</v>
      </c>
      <c r="F77" s="655" t="s">
        <v>355</v>
      </c>
      <c r="G77" s="652"/>
    </row>
    <row r="78" spans="3:9" x14ac:dyDescent="0.2">
      <c r="C78" s="920" t="s">
        <v>356</v>
      </c>
      <c r="D78" s="921"/>
      <c r="E78" s="922"/>
      <c r="F78" s="653" t="s">
        <v>111</v>
      </c>
      <c r="G78" s="675" t="s">
        <v>360</v>
      </c>
      <c r="H78" s="675" t="s">
        <v>361</v>
      </c>
      <c r="I78" s="676" t="s">
        <v>362</v>
      </c>
    </row>
    <row r="79" spans="3:9" x14ac:dyDescent="0.2">
      <c r="C79" s="903"/>
      <c r="D79" s="904"/>
      <c r="E79" s="905"/>
      <c r="F79" s="658"/>
      <c r="G79" s="658"/>
      <c r="H79" s="658"/>
      <c r="I79" s="660"/>
    </row>
    <row r="80" spans="3:9" x14ac:dyDescent="0.2">
      <c r="C80" s="903"/>
      <c r="D80" s="904"/>
      <c r="E80" s="905"/>
      <c r="F80" s="658"/>
      <c r="G80" s="658"/>
      <c r="H80" s="658"/>
      <c r="I80" s="660"/>
    </row>
    <row r="81" spans="3:9" x14ac:dyDescent="0.2">
      <c r="C81" s="903"/>
      <c r="D81" s="904"/>
      <c r="E81" s="905"/>
      <c r="F81" s="658"/>
      <c r="G81" s="658"/>
      <c r="H81" s="658"/>
      <c r="I81" s="660"/>
    </row>
    <row r="82" spans="3:9" x14ac:dyDescent="0.2">
      <c r="C82" s="903"/>
      <c r="D82" s="904"/>
      <c r="E82" s="905"/>
      <c r="F82" s="658"/>
      <c r="G82" s="658"/>
      <c r="H82" s="658"/>
      <c r="I82" s="660"/>
    </row>
    <row r="83" spans="3:9" x14ac:dyDescent="0.2">
      <c r="C83" s="903"/>
      <c r="D83" s="904"/>
      <c r="E83" s="905"/>
      <c r="F83" s="658"/>
      <c r="G83" s="658"/>
      <c r="H83" s="658"/>
      <c r="I83" s="660"/>
    </row>
    <row r="84" spans="3:9" x14ac:dyDescent="0.2">
      <c r="C84" s="903"/>
      <c r="D84" s="904"/>
      <c r="E84" s="905"/>
      <c r="F84" s="658"/>
      <c r="G84" s="658"/>
      <c r="H84" s="658"/>
      <c r="I84" s="660"/>
    </row>
    <row r="85" spans="3:9" x14ac:dyDescent="0.2">
      <c r="C85" s="903"/>
      <c r="D85" s="904"/>
      <c r="E85" s="905"/>
      <c r="F85" s="658"/>
      <c r="G85" s="658"/>
      <c r="H85" s="658"/>
      <c r="I85" s="660"/>
    </row>
    <row r="86" spans="3:9" x14ac:dyDescent="0.2">
      <c r="C86" s="903"/>
      <c r="D86" s="904"/>
      <c r="E86" s="905"/>
      <c r="F86" s="658"/>
      <c r="G86" s="658"/>
      <c r="H86" s="658"/>
      <c r="I86" s="660"/>
    </row>
    <row r="87" spans="3:9" x14ac:dyDescent="0.2">
      <c r="C87" s="903"/>
      <c r="D87" s="904"/>
      <c r="E87" s="905"/>
      <c r="F87" s="658"/>
      <c r="G87" s="658"/>
      <c r="H87" s="658"/>
      <c r="I87" s="660"/>
    </row>
    <row r="88" spans="3:9" x14ac:dyDescent="0.2">
      <c r="C88" s="903"/>
      <c r="D88" s="904"/>
      <c r="E88" s="905"/>
      <c r="F88" s="658"/>
      <c r="G88" s="658"/>
      <c r="H88" s="658"/>
      <c r="I88" s="660"/>
    </row>
    <row r="89" spans="3:9" ht="13.5" thickBot="1" x14ac:dyDescent="0.25">
      <c r="C89" s="906"/>
      <c r="D89" s="907"/>
      <c r="E89" s="908"/>
      <c r="F89" s="661"/>
      <c r="G89" s="661"/>
      <c r="H89" s="661"/>
      <c r="I89" s="662"/>
    </row>
    <row r="90" spans="3:9" ht="15.75" thickBot="1" x14ac:dyDescent="0.3">
      <c r="E90" s="655" t="s">
        <v>105</v>
      </c>
      <c r="F90" s="657">
        <f>SUM(F79:F89)</f>
        <v>0</v>
      </c>
      <c r="G90" s="657">
        <f>SUM(G79:G89)</f>
        <v>0</v>
      </c>
      <c r="H90" s="657">
        <f>SUM(H79:H89)</f>
        <v>0</v>
      </c>
      <c r="I90" s="657">
        <f>SUM(I79:I89)</f>
        <v>0</v>
      </c>
    </row>
    <row r="91" spans="3:9" x14ac:dyDescent="0.2"/>
    <row r="92" spans="3:9" ht="15.75" thickBot="1" x14ac:dyDescent="0.3">
      <c r="C92" s="919" t="s">
        <v>357</v>
      </c>
      <c r="D92" s="919"/>
      <c r="E92" s="652">
        <v>6</v>
      </c>
      <c r="F92" s="655" t="s">
        <v>355</v>
      </c>
      <c r="G92" s="652"/>
    </row>
    <row r="93" spans="3:9" x14ac:dyDescent="0.2">
      <c r="C93" s="920" t="s">
        <v>356</v>
      </c>
      <c r="D93" s="921"/>
      <c r="E93" s="922"/>
      <c r="F93" s="653" t="s">
        <v>111</v>
      </c>
      <c r="G93" s="675" t="s">
        <v>360</v>
      </c>
      <c r="H93" s="675" t="s">
        <v>361</v>
      </c>
      <c r="I93" s="676" t="s">
        <v>362</v>
      </c>
    </row>
    <row r="94" spans="3:9" x14ac:dyDescent="0.2">
      <c r="C94" s="903"/>
      <c r="D94" s="904"/>
      <c r="E94" s="905"/>
      <c r="F94" s="658"/>
      <c r="G94" s="658"/>
      <c r="H94" s="658"/>
      <c r="I94" s="660"/>
    </row>
    <row r="95" spans="3:9" x14ac:dyDescent="0.2">
      <c r="C95" s="903"/>
      <c r="D95" s="904"/>
      <c r="E95" s="905"/>
      <c r="F95" s="658"/>
      <c r="G95" s="658"/>
      <c r="H95" s="658"/>
      <c r="I95" s="660"/>
    </row>
    <row r="96" spans="3:9" x14ac:dyDescent="0.2">
      <c r="C96" s="903"/>
      <c r="D96" s="904"/>
      <c r="E96" s="905"/>
      <c r="F96" s="658"/>
      <c r="G96" s="658"/>
      <c r="H96" s="658"/>
      <c r="I96" s="660"/>
    </row>
    <row r="97" spans="3:9" x14ac:dyDescent="0.2">
      <c r="C97" s="903"/>
      <c r="D97" s="904"/>
      <c r="E97" s="905"/>
      <c r="F97" s="658"/>
      <c r="G97" s="658"/>
      <c r="H97" s="658"/>
      <c r="I97" s="660"/>
    </row>
    <row r="98" spans="3:9" x14ac:dyDescent="0.2">
      <c r="C98" s="903"/>
      <c r="D98" s="904"/>
      <c r="E98" s="905"/>
      <c r="F98" s="658"/>
      <c r="G98" s="658"/>
      <c r="H98" s="658"/>
      <c r="I98" s="660"/>
    </row>
    <row r="99" spans="3:9" x14ac:dyDescent="0.2">
      <c r="C99" s="903"/>
      <c r="D99" s="904"/>
      <c r="E99" s="905"/>
      <c r="F99" s="658"/>
      <c r="G99" s="658"/>
      <c r="H99" s="658"/>
      <c r="I99" s="660"/>
    </row>
    <row r="100" spans="3:9" x14ac:dyDescent="0.2">
      <c r="C100" s="903"/>
      <c r="D100" s="904"/>
      <c r="E100" s="905"/>
      <c r="F100" s="658"/>
      <c r="G100" s="658"/>
      <c r="H100" s="658"/>
      <c r="I100" s="660"/>
    </row>
    <row r="101" spans="3:9" x14ac:dyDescent="0.2">
      <c r="C101" s="903"/>
      <c r="D101" s="904"/>
      <c r="E101" s="905"/>
      <c r="F101" s="658"/>
      <c r="G101" s="658"/>
      <c r="H101" s="658"/>
      <c r="I101" s="660"/>
    </row>
    <row r="102" spans="3:9" x14ac:dyDescent="0.2">
      <c r="C102" s="903"/>
      <c r="D102" s="904"/>
      <c r="E102" s="905"/>
      <c r="F102" s="658"/>
      <c r="G102" s="658"/>
      <c r="H102" s="658"/>
      <c r="I102" s="660"/>
    </row>
    <row r="103" spans="3:9" x14ac:dyDescent="0.2">
      <c r="C103" s="903"/>
      <c r="D103" s="904"/>
      <c r="E103" s="905"/>
      <c r="F103" s="658"/>
      <c r="G103" s="658"/>
      <c r="H103" s="658"/>
      <c r="I103" s="660"/>
    </row>
    <row r="104" spans="3:9" ht="13.5" thickBot="1" x14ac:dyDescent="0.25">
      <c r="C104" s="906"/>
      <c r="D104" s="907"/>
      <c r="E104" s="908"/>
      <c r="F104" s="661"/>
      <c r="G104" s="661"/>
      <c r="H104" s="661"/>
      <c r="I104" s="662"/>
    </row>
    <row r="105" spans="3:9" ht="15.75" thickBot="1" x14ac:dyDescent="0.3">
      <c r="E105" s="655" t="s">
        <v>105</v>
      </c>
      <c r="F105" s="657">
        <f>SUM(F94:F104)</f>
        <v>0</v>
      </c>
      <c r="G105" s="657">
        <f>SUM(G94:G104)</f>
        <v>0</v>
      </c>
      <c r="H105" s="657">
        <f>SUM(H94:H104)</f>
        <v>0</v>
      </c>
      <c r="I105" s="657">
        <f>SUM(I94:I104)</f>
        <v>0</v>
      </c>
    </row>
    <row r="106" spans="3:9" x14ac:dyDescent="0.2"/>
    <row r="107" spans="3:9" ht="15.75" thickBot="1" x14ac:dyDescent="0.3">
      <c r="C107" s="919" t="s">
        <v>357</v>
      </c>
      <c r="D107" s="919"/>
      <c r="E107" s="652">
        <v>7</v>
      </c>
      <c r="F107" s="655" t="s">
        <v>355</v>
      </c>
      <c r="G107" s="652"/>
    </row>
    <row r="108" spans="3:9" x14ac:dyDescent="0.2">
      <c r="C108" s="920" t="s">
        <v>356</v>
      </c>
      <c r="D108" s="921"/>
      <c r="E108" s="922"/>
      <c r="F108" s="653" t="s">
        <v>111</v>
      </c>
      <c r="G108" s="675" t="s">
        <v>360</v>
      </c>
      <c r="H108" s="675" t="s">
        <v>361</v>
      </c>
      <c r="I108" s="676" t="s">
        <v>362</v>
      </c>
    </row>
    <row r="109" spans="3:9" x14ac:dyDescent="0.2">
      <c r="C109" s="903"/>
      <c r="D109" s="904"/>
      <c r="E109" s="905"/>
      <c r="F109" s="658"/>
      <c r="G109" s="658"/>
      <c r="H109" s="658"/>
      <c r="I109" s="660"/>
    </row>
    <row r="110" spans="3:9" x14ac:dyDescent="0.2">
      <c r="C110" s="903"/>
      <c r="D110" s="904"/>
      <c r="E110" s="905"/>
      <c r="F110" s="658"/>
      <c r="G110" s="658"/>
      <c r="H110" s="658"/>
      <c r="I110" s="660"/>
    </row>
    <row r="111" spans="3:9" x14ac:dyDescent="0.2">
      <c r="C111" s="903"/>
      <c r="D111" s="904"/>
      <c r="E111" s="905"/>
      <c r="F111" s="658"/>
      <c r="G111" s="658"/>
      <c r="H111" s="658"/>
      <c r="I111" s="660"/>
    </row>
    <row r="112" spans="3:9" x14ac:dyDescent="0.2">
      <c r="C112" s="903"/>
      <c r="D112" s="904"/>
      <c r="E112" s="905"/>
      <c r="F112" s="658"/>
      <c r="G112" s="658"/>
      <c r="H112" s="658"/>
      <c r="I112" s="660"/>
    </row>
    <row r="113" spans="3:9" x14ac:dyDescent="0.2">
      <c r="C113" s="903"/>
      <c r="D113" s="904"/>
      <c r="E113" s="905"/>
      <c r="F113" s="658"/>
      <c r="G113" s="658"/>
      <c r="H113" s="658"/>
      <c r="I113" s="660"/>
    </row>
    <row r="114" spans="3:9" x14ac:dyDescent="0.2">
      <c r="C114" s="903"/>
      <c r="D114" s="904"/>
      <c r="E114" s="905"/>
      <c r="F114" s="658"/>
      <c r="G114" s="658"/>
      <c r="H114" s="658"/>
      <c r="I114" s="660"/>
    </row>
    <row r="115" spans="3:9" x14ac:dyDescent="0.2">
      <c r="C115" s="903"/>
      <c r="D115" s="904"/>
      <c r="E115" s="905"/>
      <c r="F115" s="658"/>
      <c r="G115" s="658"/>
      <c r="H115" s="658"/>
      <c r="I115" s="660"/>
    </row>
    <row r="116" spans="3:9" x14ac:dyDescent="0.2">
      <c r="C116" s="903"/>
      <c r="D116" s="904"/>
      <c r="E116" s="905"/>
      <c r="F116" s="658"/>
      <c r="G116" s="658"/>
      <c r="H116" s="658"/>
      <c r="I116" s="660"/>
    </row>
    <row r="117" spans="3:9" x14ac:dyDescent="0.2">
      <c r="C117" s="903"/>
      <c r="D117" s="904"/>
      <c r="E117" s="905"/>
      <c r="F117" s="658"/>
      <c r="G117" s="658"/>
      <c r="H117" s="658"/>
      <c r="I117" s="660"/>
    </row>
    <row r="118" spans="3:9" x14ac:dyDescent="0.2">
      <c r="C118" s="903"/>
      <c r="D118" s="904"/>
      <c r="E118" s="905"/>
      <c r="F118" s="658"/>
      <c r="G118" s="658"/>
      <c r="H118" s="658"/>
      <c r="I118" s="660"/>
    </row>
    <row r="119" spans="3:9" ht="13.5" thickBot="1" x14ac:dyDescent="0.25">
      <c r="C119" s="906"/>
      <c r="D119" s="907"/>
      <c r="E119" s="908"/>
      <c r="F119" s="661"/>
      <c r="G119" s="661"/>
      <c r="H119" s="661"/>
      <c r="I119" s="662"/>
    </row>
    <row r="120" spans="3:9" ht="15.75" thickBot="1" x14ac:dyDescent="0.3">
      <c r="E120" s="655" t="s">
        <v>105</v>
      </c>
      <c r="F120" s="657">
        <f>SUM(F109:F119)</f>
        <v>0</v>
      </c>
      <c r="G120" s="657">
        <f>SUM(G109:G119)</f>
        <v>0</v>
      </c>
      <c r="H120" s="657">
        <f>SUM(H109:H119)</f>
        <v>0</v>
      </c>
      <c r="I120" s="657">
        <f>SUM(I109:I119)</f>
        <v>0</v>
      </c>
    </row>
    <row r="121" spans="3:9" x14ac:dyDescent="0.2"/>
    <row r="122" spans="3:9" ht="15.75" thickBot="1" x14ac:dyDescent="0.3">
      <c r="C122" s="919" t="s">
        <v>357</v>
      </c>
      <c r="D122" s="919"/>
      <c r="E122" s="652">
        <v>8</v>
      </c>
      <c r="F122" s="655" t="s">
        <v>355</v>
      </c>
      <c r="G122" s="652"/>
    </row>
    <row r="123" spans="3:9" x14ac:dyDescent="0.2">
      <c r="C123" s="920" t="s">
        <v>356</v>
      </c>
      <c r="D123" s="921"/>
      <c r="E123" s="922"/>
      <c r="F123" s="653" t="s">
        <v>111</v>
      </c>
      <c r="G123" s="675" t="s">
        <v>360</v>
      </c>
      <c r="H123" s="675" t="s">
        <v>361</v>
      </c>
      <c r="I123" s="676" t="s">
        <v>362</v>
      </c>
    </row>
    <row r="124" spans="3:9" x14ac:dyDescent="0.2">
      <c r="C124" s="903"/>
      <c r="D124" s="904"/>
      <c r="E124" s="905"/>
      <c r="F124" s="658"/>
      <c r="G124" s="658"/>
      <c r="H124" s="658"/>
      <c r="I124" s="660"/>
    </row>
    <row r="125" spans="3:9" x14ac:dyDescent="0.2">
      <c r="C125" s="903"/>
      <c r="D125" s="904"/>
      <c r="E125" s="905"/>
      <c r="F125" s="658"/>
      <c r="G125" s="658"/>
      <c r="H125" s="658"/>
      <c r="I125" s="660"/>
    </row>
    <row r="126" spans="3:9" x14ac:dyDescent="0.2">
      <c r="C126" s="903"/>
      <c r="D126" s="904"/>
      <c r="E126" s="905"/>
      <c r="F126" s="658"/>
      <c r="G126" s="658"/>
      <c r="H126" s="658"/>
      <c r="I126" s="660"/>
    </row>
    <row r="127" spans="3:9" x14ac:dyDescent="0.2">
      <c r="C127" s="903"/>
      <c r="D127" s="904"/>
      <c r="E127" s="905"/>
      <c r="F127" s="658"/>
      <c r="G127" s="658"/>
      <c r="H127" s="658"/>
      <c r="I127" s="660"/>
    </row>
    <row r="128" spans="3:9" x14ac:dyDescent="0.2">
      <c r="C128" s="903"/>
      <c r="D128" s="904"/>
      <c r="E128" s="905"/>
      <c r="F128" s="658"/>
      <c r="G128" s="658"/>
      <c r="H128" s="658"/>
      <c r="I128" s="660"/>
    </row>
    <row r="129" spans="3:9" x14ac:dyDescent="0.2">
      <c r="C129" s="903"/>
      <c r="D129" s="904"/>
      <c r="E129" s="905"/>
      <c r="F129" s="658"/>
      <c r="G129" s="658"/>
      <c r="H129" s="658"/>
      <c r="I129" s="660"/>
    </row>
    <row r="130" spans="3:9" x14ac:dyDescent="0.2">
      <c r="C130" s="903"/>
      <c r="D130" s="904"/>
      <c r="E130" s="905"/>
      <c r="F130" s="658"/>
      <c r="G130" s="658"/>
      <c r="H130" s="658"/>
      <c r="I130" s="660"/>
    </row>
    <row r="131" spans="3:9" x14ac:dyDescent="0.2">
      <c r="C131" s="903"/>
      <c r="D131" s="904"/>
      <c r="E131" s="905"/>
      <c r="F131" s="658"/>
      <c r="G131" s="658"/>
      <c r="H131" s="658"/>
      <c r="I131" s="660"/>
    </row>
    <row r="132" spans="3:9" x14ac:dyDescent="0.2">
      <c r="C132" s="903"/>
      <c r="D132" s="904"/>
      <c r="E132" s="905"/>
      <c r="F132" s="658"/>
      <c r="G132" s="658"/>
      <c r="H132" s="658"/>
      <c r="I132" s="660"/>
    </row>
    <row r="133" spans="3:9" x14ac:dyDescent="0.2">
      <c r="C133" s="903"/>
      <c r="D133" s="904"/>
      <c r="E133" s="905"/>
      <c r="F133" s="658"/>
      <c r="G133" s="658"/>
      <c r="H133" s="658"/>
      <c r="I133" s="660"/>
    </row>
    <row r="134" spans="3:9" ht="13.5" thickBot="1" x14ac:dyDescent="0.25">
      <c r="C134" s="906"/>
      <c r="D134" s="907"/>
      <c r="E134" s="908"/>
      <c r="F134" s="661"/>
      <c r="G134" s="661"/>
      <c r="H134" s="661"/>
      <c r="I134" s="662"/>
    </row>
    <row r="135" spans="3:9" ht="15.75" thickBot="1" x14ac:dyDescent="0.3">
      <c r="E135" s="655" t="s">
        <v>105</v>
      </c>
      <c r="F135" s="657">
        <f>SUM(F124:F134)</f>
        <v>0</v>
      </c>
      <c r="G135" s="657">
        <f>SUM(G124:G134)</f>
        <v>0</v>
      </c>
      <c r="H135" s="657">
        <f>SUM(H124:H134)</f>
        <v>0</v>
      </c>
      <c r="I135" s="657">
        <f>SUM(I124:I134)</f>
        <v>0</v>
      </c>
    </row>
    <row r="136" spans="3:9" x14ac:dyDescent="0.2"/>
    <row r="137" spans="3:9" ht="15.75" thickBot="1" x14ac:dyDescent="0.3">
      <c r="C137" s="919" t="s">
        <v>357</v>
      </c>
      <c r="D137" s="919"/>
      <c r="E137" s="652">
        <v>9</v>
      </c>
      <c r="F137" s="655" t="s">
        <v>355</v>
      </c>
      <c r="G137" s="652"/>
    </row>
    <row r="138" spans="3:9" x14ac:dyDescent="0.2">
      <c r="C138" s="920" t="s">
        <v>356</v>
      </c>
      <c r="D138" s="921"/>
      <c r="E138" s="922"/>
      <c r="F138" s="653" t="s">
        <v>111</v>
      </c>
      <c r="G138" s="675" t="s">
        <v>360</v>
      </c>
      <c r="H138" s="675" t="s">
        <v>361</v>
      </c>
      <c r="I138" s="676" t="s">
        <v>362</v>
      </c>
    </row>
    <row r="139" spans="3:9" x14ac:dyDescent="0.2">
      <c r="C139" s="903"/>
      <c r="D139" s="904"/>
      <c r="E139" s="905"/>
      <c r="F139" s="658"/>
      <c r="G139" s="658"/>
      <c r="H139" s="658"/>
      <c r="I139" s="660"/>
    </row>
    <row r="140" spans="3:9" x14ac:dyDescent="0.2">
      <c r="C140" s="903"/>
      <c r="D140" s="904"/>
      <c r="E140" s="905"/>
      <c r="F140" s="658"/>
      <c r="G140" s="658"/>
      <c r="H140" s="658"/>
      <c r="I140" s="660"/>
    </row>
    <row r="141" spans="3:9" x14ac:dyDescent="0.2">
      <c r="C141" s="903"/>
      <c r="D141" s="904"/>
      <c r="E141" s="905"/>
      <c r="F141" s="658"/>
      <c r="G141" s="658"/>
      <c r="H141" s="658"/>
      <c r="I141" s="660"/>
    </row>
    <row r="142" spans="3:9" x14ac:dyDescent="0.2">
      <c r="C142" s="903"/>
      <c r="D142" s="904"/>
      <c r="E142" s="905"/>
      <c r="F142" s="658"/>
      <c r="G142" s="658"/>
      <c r="H142" s="658"/>
      <c r="I142" s="660"/>
    </row>
    <row r="143" spans="3:9" x14ac:dyDescent="0.2">
      <c r="C143" s="903"/>
      <c r="D143" s="904"/>
      <c r="E143" s="905"/>
      <c r="F143" s="658"/>
      <c r="G143" s="658"/>
      <c r="H143" s="658"/>
      <c r="I143" s="660"/>
    </row>
    <row r="144" spans="3:9" x14ac:dyDescent="0.2">
      <c r="C144" s="903"/>
      <c r="D144" s="904"/>
      <c r="E144" s="905"/>
      <c r="F144" s="658"/>
      <c r="G144" s="658"/>
      <c r="H144" s="658"/>
      <c r="I144" s="660"/>
    </row>
    <row r="145" spans="3:9" x14ac:dyDescent="0.2">
      <c r="C145" s="903"/>
      <c r="D145" s="904"/>
      <c r="E145" s="905"/>
      <c r="F145" s="658"/>
      <c r="G145" s="658"/>
      <c r="H145" s="658"/>
      <c r="I145" s="660"/>
    </row>
    <row r="146" spans="3:9" x14ac:dyDescent="0.2">
      <c r="C146" s="903"/>
      <c r="D146" s="904"/>
      <c r="E146" s="905"/>
      <c r="F146" s="658"/>
      <c r="G146" s="658"/>
      <c r="H146" s="658"/>
      <c r="I146" s="660"/>
    </row>
    <row r="147" spans="3:9" x14ac:dyDescent="0.2">
      <c r="C147" s="903"/>
      <c r="D147" s="904"/>
      <c r="E147" s="905"/>
      <c r="F147" s="658"/>
      <c r="G147" s="658"/>
      <c r="H147" s="658"/>
      <c r="I147" s="660"/>
    </row>
    <row r="148" spans="3:9" x14ac:dyDescent="0.2">
      <c r="C148" s="903"/>
      <c r="D148" s="904"/>
      <c r="E148" s="905"/>
      <c r="F148" s="658"/>
      <c r="G148" s="658"/>
      <c r="H148" s="658"/>
      <c r="I148" s="660"/>
    </row>
    <row r="149" spans="3:9" ht="13.5" thickBot="1" x14ac:dyDescent="0.25">
      <c r="C149" s="906"/>
      <c r="D149" s="907"/>
      <c r="E149" s="908"/>
      <c r="F149" s="661"/>
      <c r="G149" s="661"/>
      <c r="H149" s="661"/>
      <c r="I149" s="662"/>
    </row>
    <row r="150" spans="3:9" ht="15.75" thickBot="1" x14ac:dyDescent="0.3">
      <c r="E150" s="655" t="s">
        <v>105</v>
      </c>
      <c r="F150" s="657">
        <f>SUM(F139:F149)</f>
        <v>0</v>
      </c>
      <c r="G150" s="657">
        <f>SUM(G139:G149)</f>
        <v>0</v>
      </c>
      <c r="H150" s="657">
        <f>SUM(H139:H149)</f>
        <v>0</v>
      </c>
      <c r="I150" s="657">
        <f>SUM(I139:I149)</f>
        <v>0</v>
      </c>
    </row>
    <row r="151" spans="3:9" x14ac:dyDescent="0.2"/>
    <row r="152" spans="3:9" ht="15.75" thickBot="1" x14ac:dyDescent="0.3">
      <c r="C152" s="919" t="s">
        <v>357</v>
      </c>
      <c r="D152" s="919"/>
      <c r="E152" s="652">
        <v>10</v>
      </c>
      <c r="F152" s="655" t="s">
        <v>355</v>
      </c>
      <c r="G152" s="652"/>
    </row>
    <row r="153" spans="3:9" x14ac:dyDescent="0.2">
      <c r="C153" s="920" t="s">
        <v>356</v>
      </c>
      <c r="D153" s="921"/>
      <c r="E153" s="922"/>
      <c r="F153" s="653" t="s">
        <v>111</v>
      </c>
      <c r="G153" s="675" t="s">
        <v>360</v>
      </c>
      <c r="H153" s="675" t="s">
        <v>361</v>
      </c>
      <c r="I153" s="676" t="s">
        <v>362</v>
      </c>
    </row>
    <row r="154" spans="3:9" x14ac:dyDescent="0.2">
      <c r="C154" s="903"/>
      <c r="D154" s="904"/>
      <c r="E154" s="905"/>
      <c r="F154" s="658"/>
      <c r="G154" s="658"/>
      <c r="H154" s="658"/>
      <c r="I154" s="660"/>
    </row>
    <row r="155" spans="3:9" x14ac:dyDescent="0.2">
      <c r="C155" s="903"/>
      <c r="D155" s="904"/>
      <c r="E155" s="905"/>
      <c r="F155" s="658"/>
      <c r="G155" s="658"/>
      <c r="H155" s="658"/>
      <c r="I155" s="660"/>
    </row>
    <row r="156" spans="3:9" x14ac:dyDescent="0.2">
      <c r="C156" s="903"/>
      <c r="D156" s="904"/>
      <c r="E156" s="905"/>
      <c r="F156" s="658"/>
      <c r="G156" s="658"/>
      <c r="H156" s="658"/>
      <c r="I156" s="660"/>
    </row>
    <row r="157" spans="3:9" x14ac:dyDescent="0.2">
      <c r="C157" s="903"/>
      <c r="D157" s="904"/>
      <c r="E157" s="905"/>
      <c r="F157" s="658"/>
      <c r="G157" s="658"/>
      <c r="H157" s="658"/>
      <c r="I157" s="660"/>
    </row>
    <row r="158" spans="3:9" x14ac:dyDescent="0.2">
      <c r="C158" s="903"/>
      <c r="D158" s="904"/>
      <c r="E158" s="905"/>
      <c r="F158" s="658"/>
      <c r="G158" s="658"/>
      <c r="H158" s="658"/>
      <c r="I158" s="660"/>
    </row>
    <row r="159" spans="3:9" x14ac:dyDescent="0.2">
      <c r="C159" s="903"/>
      <c r="D159" s="904"/>
      <c r="E159" s="905"/>
      <c r="F159" s="658"/>
      <c r="G159" s="658"/>
      <c r="H159" s="658"/>
      <c r="I159" s="660"/>
    </row>
    <row r="160" spans="3:9" x14ac:dyDescent="0.2">
      <c r="C160" s="903"/>
      <c r="D160" s="904"/>
      <c r="E160" s="905"/>
      <c r="F160" s="658"/>
      <c r="G160" s="658"/>
      <c r="H160" s="658"/>
      <c r="I160" s="660"/>
    </row>
    <row r="161" spans="3:9" x14ac:dyDescent="0.2">
      <c r="C161" s="903"/>
      <c r="D161" s="904"/>
      <c r="E161" s="905"/>
      <c r="F161" s="658"/>
      <c r="G161" s="658"/>
      <c r="H161" s="658"/>
      <c r="I161" s="660"/>
    </row>
    <row r="162" spans="3:9" x14ac:dyDescent="0.2">
      <c r="C162" s="903"/>
      <c r="D162" s="904"/>
      <c r="E162" s="905"/>
      <c r="F162" s="658"/>
      <c r="G162" s="658"/>
      <c r="H162" s="658"/>
      <c r="I162" s="660"/>
    </row>
    <row r="163" spans="3:9" x14ac:dyDescent="0.2">
      <c r="C163" s="903"/>
      <c r="D163" s="904"/>
      <c r="E163" s="905"/>
      <c r="F163" s="658"/>
      <c r="G163" s="658"/>
      <c r="H163" s="658"/>
      <c r="I163" s="660"/>
    </row>
    <row r="164" spans="3:9" ht="13.5" thickBot="1" x14ac:dyDescent="0.25">
      <c r="C164" s="906"/>
      <c r="D164" s="907"/>
      <c r="E164" s="908"/>
      <c r="F164" s="661"/>
      <c r="G164" s="661"/>
      <c r="H164" s="661"/>
      <c r="I164" s="662"/>
    </row>
    <row r="165" spans="3:9" ht="15.75" thickBot="1" x14ac:dyDescent="0.3">
      <c r="E165" s="655" t="s">
        <v>105</v>
      </c>
      <c r="F165" s="657">
        <f>SUM(F154:F164)</f>
        <v>0</v>
      </c>
      <c r="G165" s="657">
        <f>SUM(G154:G164)</f>
        <v>0</v>
      </c>
      <c r="H165" s="657">
        <f>SUM(H154:H164)</f>
        <v>0</v>
      </c>
      <c r="I165" s="657">
        <f>SUM(I154:I164)</f>
        <v>0</v>
      </c>
    </row>
    <row r="166" spans="3:9" x14ac:dyDescent="0.2"/>
    <row r="167" spans="3:9" ht="15.75" thickBot="1" x14ac:dyDescent="0.3">
      <c r="C167" s="919" t="s">
        <v>357</v>
      </c>
      <c r="D167" s="919"/>
      <c r="E167" s="652">
        <v>11</v>
      </c>
      <c r="F167" s="655" t="s">
        <v>355</v>
      </c>
      <c r="G167" s="652"/>
    </row>
    <row r="168" spans="3:9" x14ac:dyDescent="0.2">
      <c r="C168" s="920" t="s">
        <v>356</v>
      </c>
      <c r="D168" s="921"/>
      <c r="E168" s="922"/>
      <c r="F168" s="653" t="s">
        <v>111</v>
      </c>
      <c r="G168" s="675" t="s">
        <v>360</v>
      </c>
      <c r="H168" s="675" t="s">
        <v>361</v>
      </c>
      <c r="I168" s="676" t="s">
        <v>362</v>
      </c>
    </row>
    <row r="169" spans="3:9" x14ac:dyDescent="0.2">
      <c r="C169" s="903"/>
      <c r="D169" s="904"/>
      <c r="E169" s="905"/>
      <c r="F169" s="658"/>
      <c r="G169" s="658"/>
      <c r="H169" s="658"/>
      <c r="I169" s="660"/>
    </row>
    <row r="170" spans="3:9" x14ac:dyDescent="0.2">
      <c r="C170" s="903"/>
      <c r="D170" s="904"/>
      <c r="E170" s="905"/>
      <c r="F170" s="658"/>
      <c r="G170" s="658"/>
      <c r="H170" s="658"/>
      <c r="I170" s="660"/>
    </row>
    <row r="171" spans="3:9" x14ac:dyDescent="0.2">
      <c r="C171" s="903"/>
      <c r="D171" s="904"/>
      <c r="E171" s="905"/>
      <c r="F171" s="658"/>
      <c r="G171" s="658"/>
      <c r="H171" s="658"/>
      <c r="I171" s="660"/>
    </row>
    <row r="172" spans="3:9" x14ac:dyDescent="0.2">
      <c r="C172" s="903"/>
      <c r="D172" s="904"/>
      <c r="E172" s="905"/>
      <c r="F172" s="658"/>
      <c r="G172" s="658"/>
      <c r="H172" s="658"/>
      <c r="I172" s="660"/>
    </row>
    <row r="173" spans="3:9" x14ac:dyDescent="0.2">
      <c r="C173" s="903"/>
      <c r="D173" s="904"/>
      <c r="E173" s="905"/>
      <c r="F173" s="658"/>
      <c r="G173" s="658"/>
      <c r="H173" s="658"/>
      <c r="I173" s="660"/>
    </row>
    <row r="174" spans="3:9" x14ac:dyDescent="0.2">
      <c r="C174" s="903"/>
      <c r="D174" s="904"/>
      <c r="E174" s="905"/>
      <c r="F174" s="658"/>
      <c r="G174" s="658"/>
      <c r="H174" s="658"/>
      <c r="I174" s="660"/>
    </row>
    <row r="175" spans="3:9" x14ac:dyDescent="0.2">
      <c r="C175" s="903"/>
      <c r="D175" s="904"/>
      <c r="E175" s="905"/>
      <c r="F175" s="658"/>
      <c r="G175" s="658"/>
      <c r="H175" s="658"/>
      <c r="I175" s="660"/>
    </row>
    <row r="176" spans="3:9" x14ac:dyDescent="0.2">
      <c r="C176" s="903"/>
      <c r="D176" s="904"/>
      <c r="E176" s="905"/>
      <c r="F176" s="658"/>
      <c r="G176" s="658"/>
      <c r="H176" s="658"/>
      <c r="I176" s="660"/>
    </row>
    <row r="177" spans="3:9" x14ac:dyDescent="0.2">
      <c r="C177" s="903"/>
      <c r="D177" s="904"/>
      <c r="E177" s="905"/>
      <c r="F177" s="658"/>
      <c r="G177" s="658"/>
      <c r="H177" s="658"/>
      <c r="I177" s="660"/>
    </row>
    <row r="178" spans="3:9" x14ac:dyDescent="0.2">
      <c r="C178" s="903"/>
      <c r="D178" s="904"/>
      <c r="E178" s="905"/>
      <c r="F178" s="658"/>
      <c r="G178" s="658"/>
      <c r="H178" s="658"/>
      <c r="I178" s="660"/>
    </row>
    <row r="179" spans="3:9" ht="13.5" thickBot="1" x14ac:dyDescent="0.25">
      <c r="C179" s="906"/>
      <c r="D179" s="907"/>
      <c r="E179" s="908"/>
      <c r="F179" s="661"/>
      <c r="G179" s="661"/>
      <c r="H179" s="661"/>
      <c r="I179" s="662"/>
    </row>
    <row r="180" spans="3:9" ht="15.75" thickBot="1" x14ac:dyDescent="0.3">
      <c r="E180" s="655" t="s">
        <v>105</v>
      </c>
      <c r="F180" s="657">
        <f>SUM(F169:F179)</f>
        <v>0</v>
      </c>
      <c r="G180" s="657">
        <f>SUM(G169:G179)</f>
        <v>0</v>
      </c>
      <c r="H180" s="657">
        <f>SUM(H169:H179)</f>
        <v>0</v>
      </c>
      <c r="I180" s="657">
        <f>SUM(I169:I179)</f>
        <v>0</v>
      </c>
    </row>
    <row r="181" spans="3:9" x14ac:dyDescent="0.2"/>
    <row r="182" spans="3:9" ht="15.75" thickBot="1" x14ac:dyDescent="0.3">
      <c r="C182" s="919" t="s">
        <v>357</v>
      </c>
      <c r="D182" s="919"/>
      <c r="E182" s="652">
        <v>12</v>
      </c>
      <c r="F182" s="655" t="s">
        <v>355</v>
      </c>
      <c r="G182" s="652"/>
    </row>
    <row r="183" spans="3:9" x14ac:dyDescent="0.2">
      <c r="C183" s="920" t="s">
        <v>356</v>
      </c>
      <c r="D183" s="921"/>
      <c r="E183" s="922"/>
      <c r="F183" s="653" t="s">
        <v>111</v>
      </c>
      <c r="G183" s="675" t="s">
        <v>360</v>
      </c>
      <c r="H183" s="675" t="s">
        <v>361</v>
      </c>
      <c r="I183" s="676" t="s">
        <v>362</v>
      </c>
    </row>
    <row r="184" spans="3:9" x14ac:dyDescent="0.2">
      <c r="C184" s="903"/>
      <c r="D184" s="904"/>
      <c r="E184" s="905"/>
      <c r="F184" s="658"/>
      <c r="G184" s="658"/>
      <c r="H184" s="658"/>
      <c r="I184" s="660"/>
    </row>
    <row r="185" spans="3:9" x14ac:dyDescent="0.2">
      <c r="C185" s="903"/>
      <c r="D185" s="904"/>
      <c r="E185" s="905"/>
      <c r="F185" s="658"/>
      <c r="G185" s="658"/>
      <c r="H185" s="658"/>
      <c r="I185" s="660"/>
    </row>
    <row r="186" spans="3:9" x14ac:dyDescent="0.2">
      <c r="C186" s="903"/>
      <c r="D186" s="904"/>
      <c r="E186" s="905"/>
      <c r="F186" s="658"/>
      <c r="G186" s="658"/>
      <c r="H186" s="658"/>
      <c r="I186" s="660"/>
    </row>
    <row r="187" spans="3:9" x14ac:dyDescent="0.2">
      <c r="C187" s="903"/>
      <c r="D187" s="904"/>
      <c r="E187" s="905"/>
      <c r="F187" s="658"/>
      <c r="G187" s="658"/>
      <c r="H187" s="658"/>
      <c r="I187" s="660"/>
    </row>
    <row r="188" spans="3:9" x14ac:dyDescent="0.2">
      <c r="C188" s="903"/>
      <c r="D188" s="904"/>
      <c r="E188" s="905"/>
      <c r="F188" s="658"/>
      <c r="G188" s="658"/>
      <c r="H188" s="658"/>
      <c r="I188" s="660"/>
    </row>
    <row r="189" spans="3:9" x14ac:dyDescent="0.2">
      <c r="C189" s="903"/>
      <c r="D189" s="904"/>
      <c r="E189" s="905"/>
      <c r="F189" s="658"/>
      <c r="G189" s="658"/>
      <c r="H189" s="658"/>
      <c r="I189" s="660"/>
    </row>
    <row r="190" spans="3:9" x14ac:dyDescent="0.2">
      <c r="C190" s="903"/>
      <c r="D190" s="904"/>
      <c r="E190" s="905"/>
      <c r="F190" s="658"/>
      <c r="G190" s="658"/>
      <c r="H190" s="658"/>
      <c r="I190" s="660"/>
    </row>
    <row r="191" spans="3:9" x14ac:dyDescent="0.2">
      <c r="C191" s="903"/>
      <c r="D191" s="904"/>
      <c r="E191" s="905"/>
      <c r="F191" s="658"/>
      <c r="G191" s="658"/>
      <c r="H191" s="658"/>
      <c r="I191" s="660"/>
    </row>
    <row r="192" spans="3:9" x14ac:dyDescent="0.2">
      <c r="C192" s="903"/>
      <c r="D192" s="904"/>
      <c r="E192" s="905"/>
      <c r="F192" s="658"/>
      <c r="G192" s="658"/>
      <c r="H192" s="658"/>
      <c r="I192" s="660"/>
    </row>
    <row r="193" spans="3:9" x14ac:dyDescent="0.2">
      <c r="C193" s="903"/>
      <c r="D193" s="904"/>
      <c r="E193" s="905"/>
      <c r="F193" s="658"/>
      <c r="G193" s="658"/>
      <c r="H193" s="658"/>
      <c r="I193" s="660"/>
    </row>
    <row r="194" spans="3:9" ht="13.5" thickBot="1" x14ac:dyDescent="0.25">
      <c r="C194" s="906"/>
      <c r="D194" s="907"/>
      <c r="E194" s="908"/>
      <c r="F194" s="661"/>
      <c r="G194" s="661"/>
      <c r="H194" s="661"/>
      <c r="I194" s="662"/>
    </row>
    <row r="195" spans="3:9" ht="15.75" thickBot="1" x14ac:dyDescent="0.3">
      <c r="E195" s="655" t="s">
        <v>105</v>
      </c>
      <c r="F195" s="657">
        <f>SUM(F184:F194)</f>
        <v>0</v>
      </c>
      <c r="G195" s="657">
        <f>SUM(G184:G194)</f>
        <v>0</v>
      </c>
      <c r="H195" s="657">
        <f>SUM(H184:H194)</f>
        <v>0</v>
      </c>
      <c r="I195" s="657">
        <f>SUM(I184:I194)</f>
        <v>0</v>
      </c>
    </row>
    <row r="196" spans="3:9" x14ac:dyDescent="0.2"/>
    <row r="197" spans="3:9" ht="15.75" thickBot="1" x14ac:dyDescent="0.3">
      <c r="C197" s="919" t="s">
        <v>357</v>
      </c>
      <c r="D197" s="919"/>
      <c r="E197" s="652">
        <v>13</v>
      </c>
      <c r="F197" s="655" t="s">
        <v>355</v>
      </c>
      <c r="G197" s="652"/>
    </row>
    <row r="198" spans="3:9" x14ac:dyDescent="0.2">
      <c r="C198" s="920" t="s">
        <v>356</v>
      </c>
      <c r="D198" s="921"/>
      <c r="E198" s="922"/>
      <c r="F198" s="653" t="s">
        <v>111</v>
      </c>
      <c r="G198" s="675" t="s">
        <v>360</v>
      </c>
      <c r="H198" s="675" t="s">
        <v>361</v>
      </c>
      <c r="I198" s="676" t="s">
        <v>362</v>
      </c>
    </row>
    <row r="199" spans="3:9" x14ac:dyDescent="0.2">
      <c r="C199" s="903"/>
      <c r="D199" s="904"/>
      <c r="E199" s="905"/>
      <c r="F199" s="658"/>
      <c r="G199" s="658"/>
      <c r="H199" s="658"/>
      <c r="I199" s="660"/>
    </row>
    <row r="200" spans="3:9" x14ac:dyDescent="0.2">
      <c r="C200" s="903"/>
      <c r="D200" s="904"/>
      <c r="E200" s="905"/>
      <c r="F200" s="658"/>
      <c r="G200" s="658"/>
      <c r="H200" s="658"/>
      <c r="I200" s="660"/>
    </row>
    <row r="201" spans="3:9" x14ac:dyDescent="0.2">
      <c r="C201" s="903"/>
      <c r="D201" s="904"/>
      <c r="E201" s="905"/>
      <c r="F201" s="658"/>
      <c r="G201" s="658"/>
      <c r="H201" s="658"/>
      <c r="I201" s="660"/>
    </row>
    <row r="202" spans="3:9" x14ac:dyDescent="0.2">
      <c r="C202" s="903"/>
      <c r="D202" s="904"/>
      <c r="E202" s="905"/>
      <c r="F202" s="658"/>
      <c r="G202" s="658"/>
      <c r="H202" s="658"/>
      <c r="I202" s="660"/>
    </row>
    <row r="203" spans="3:9" x14ac:dyDescent="0.2">
      <c r="C203" s="903"/>
      <c r="D203" s="904"/>
      <c r="E203" s="905"/>
      <c r="F203" s="658"/>
      <c r="G203" s="658"/>
      <c r="H203" s="658"/>
      <c r="I203" s="660"/>
    </row>
    <row r="204" spans="3:9" x14ac:dyDescent="0.2">
      <c r="C204" s="903"/>
      <c r="D204" s="904"/>
      <c r="E204" s="905"/>
      <c r="F204" s="658"/>
      <c r="G204" s="658"/>
      <c r="H204" s="658"/>
      <c r="I204" s="660"/>
    </row>
    <row r="205" spans="3:9" x14ac:dyDescent="0.2">
      <c r="C205" s="903"/>
      <c r="D205" s="904"/>
      <c r="E205" s="905"/>
      <c r="F205" s="658"/>
      <c r="G205" s="658"/>
      <c r="H205" s="658"/>
      <c r="I205" s="660"/>
    </row>
    <row r="206" spans="3:9" x14ac:dyDescent="0.2">
      <c r="C206" s="903"/>
      <c r="D206" s="904"/>
      <c r="E206" s="905"/>
      <c r="F206" s="658"/>
      <c r="G206" s="658"/>
      <c r="H206" s="658"/>
      <c r="I206" s="660"/>
    </row>
    <row r="207" spans="3:9" x14ac:dyDescent="0.2">
      <c r="C207" s="903"/>
      <c r="D207" s="904"/>
      <c r="E207" s="905"/>
      <c r="F207" s="658"/>
      <c r="G207" s="658"/>
      <c r="H207" s="658"/>
      <c r="I207" s="660"/>
    </row>
    <row r="208" spans="3:9" x14ac:dyDescent="0.2">
      <c r="C208" s="903"/>
      <c r="D208" s="904"/>
      <c r="E208" s="905"/>
      <c r="F208" s="658"/>
      <c r="G208" s="658"/>
      <c r="H208" s="658"/>
      <c r="I208" s="660"/>
    </row>
    <row r="209" spans="3:9" ht="13.5" thickBot="1" x14ac:dyDescent="0.25">
      <c r="C209" s="906"/>
      <c r="D209" s="907"/>
      <c r="E209" s="908"/>
      <c r="F209" s="661"/>
      <c r="G209" s="661"/>
      <c r="H209" s="661"/>
      <c r="I209" s="662"/>
    </row>
    <row r="210" spans="3:9" ht="15.75" thickBot="1" x14ac:dyDescent="0.3">
      <c r="E210" s="655" t="s">
        <v>105</v>
      </c>
      <c r="F210" s="657">
        <f>SUM(F199:F209)</f>
        <v>0</v>
      </c>
      <c r="G210" s="657">
        <f>SUM(G199:G209)</f>
        <v>0</v>
      </c>
      <c r="H210" s="657">
        <f>SUM(H199:H209)</f>
        <v>0</v>
      </c>
      <c r="I210" s="657">
        <f>SUM(I199:I209)</f>
        <v>0</v>
      </c>
    </row>
    <row r="211" spans="3:9" x14ac:dyDescent="0.2"/>
    <row r="212" spans="3:9" ht="15.75" thickBot="1" x14ac:dyDescent="0.3">
      <c r="C212" s="919" t="s">
        <v>357</v>
      </c>
      <c r="D212" s="919"/>
      <c r="E212" s="652">
        <v>14</v>
      </c>
      <c r="F212" s="655" t="s">
        <v>355</v>
      </c>
      <c r="G212" s="652"/>
    </row>
    <row r="213" spans="3:9" x14ac:dyDescent="0.2">
      <c r="C213" s="920" t="s">
        <v>356</v>
      </c>
      <c r="D213" s="921"/>
      <c r="E213" s="922"/>
      <c r="F213" s="653" t="s">
        <v>111</v>
      </c>
      <c r="G213" s="675" t="s">
        <v>360</v>
      </c>
      <c r="H213" s="675" t="s">
        <v>361</v>
      </c>
      <c r="I213" s="676" t="s">
        <v>362</v>
      </c>
    </row>
    <row r="214" spans="3:9" x14ac:dyDescent="0.2">
      <c r="C214" s="903"/>
      <c r="D214" s="904"/>
      <c r="E214" s="905"/>
      <c r="F214" s="658"/>
      <c r="G214" s="658"/>
      <c r="H214" s="658"/>
      <c r="I214" s="660"/>
    </row>
    <row r="215" spans="3:9" x14ac:dyDescent="0.2">
      <c r="C215" s="903"/>
      <c r="D215" s="904"/>
      <c r="E215" s="905"/>
      <c r="F215" s="658"/>
      <c r="G215" s="658"/>
      <c r="H215" s="658"/>
      <c r="I215" s="660"/>
    </row>
    <row r="216" spans="3:9" x14ac:dyDescent="0.2">
      <c r="C216" s="903"/>
      <c r="D216" s="904"/>
      <c r="E216" s="905"/>
      <c r="F216" s="658"/>
      <c r="G216" s="658"/>
      <c r="H216" s="658"/>
      <c r="I216" s="660"/>
    </row>
    <row r="217" spans="3:9" x14ac:dyDescent="0.2">
      <c r="C217" s="903"/>
      <c r="D217" s="904"/>
      <c r="E217" s="905"/>
      <c r="F217" s="658"/>
      <c r="G217" s="658"/>
      <c r="H217" s="658"/>
      <c r="I217" s="660"/>
    </row>
    <row r="218" spans="3:9" x14ac:dyDescent="0.2">
      <c r="C218" s="903"/>
      <c r="D218" s="904"/>
      <c r="E218" s="905"/>
      <c r="F218" s="658"/>
      <c r="G218" s="658"/>
      <c r="H218" s="658"/>
      <c r="I218" s="660"/>
    </row>
    <row r="219" spans="3:9" x14ac:dyDescent="0.2">
      <c r="C219" s="903"/>
      <c r="D219" s="904"/>
      <c r="E219" s="905"/>
      <c r="F219" s="658"/>
      <c r="G219" s="658"/>
      <c r="H219" s="658"/>
      <c r="I219" s="660"/>
    </row>
    <row r="220" spans="3:9" x14ac:dyDescent="0.2">
      <c r="C220" s="903"/>
      <c r="D220" s="904"/>
      <c r="E220" s="905"/>
      <c r="F220" s="658"/>
      <c r="G220" s="658"/>
      <c r="H220" s="658"/>
      <c r="I220" s="660"/>
    </row>
    <row r="221" spans="3:9" x14ac:dyDescent="0.2">
      <c r="C221" s="903"/>
      <c r="D221" s="904"/>
      <c r="E221" s="905"/>
      <c r="F221" s="658"/>
      <c r="G221" s="658"/>
      <c r="H221" s="658"/>
      <c r="I221" s="660"/>
    </row>
    <row r="222" spans="3:9" x14ac:dyDescent="0.2">
      <c r="C222" s="903"/>
      <c r="D222" s="904"/>
      <c r="E222" s="905"/>
      <c r="F222" s="658"/>
      <c r="G222" s="658"/>
      <c r="H222" s="658"/>
      <c r="I222" s="660"/>
    </row>
    <row r="223" spans="3:9" x14ac:dyDescent="0.2">
      <c r="C223" s="903"/>
      <c r="D223" s="904"/>
      <c r="E223" s="905"/>
      <c r="F223" s="658"/>
      <c r="G223" s="658"/>
      <c r="H223" s="658"/>
      <c r="I223" s="660"/>
    </row>
    <row r="224" spans="3:9" ht="13.5" thickBot="1" x14ac:dyDescent="0.25">
      <c r="C224" s="906"/>
      <c r="D224" s="907"/>
      <c r="E224" s="908"/>
      <c r="F224" s="661"/>
      <c r="G224" s="661"/>
      <c r="H224" s="661"/>
      <c r="I224" s="662"/>
    </row>
    <row r="225" spans="3:9" ht="15.75" thickBot="1" x14ac:dyDescent="0.3">
      <c r="E225" s="655" t="s">
        <v>105</v>
      </c>
      <c r="F225" s="657">
        <f>SUM(F214:F224)</f>
        <v>0</v>
      </c>
      <c r="G225" s="657">
        <f>SUM(G214:G224)</f>
        <v>0</v>
      </c>
      <c r="H225" s="657">
        <f>SUM(H214:H224)</f>
        <v>0</v>
      </c>
      <c r="I225" s="657">
        <f>SUM(I214:I224)</f>
        <v>0</v>
      </c>
    </row>
    <row r="226" spans="3:9" x14ac:dyDescent="0.2"/>
    <row r="227" spans="3:9" ht="15.75" thickBot="1" x14ac:dyDescent="0.3">
      <c r="C227" s="919" t="s">
        <v>357</v>
      </c>
      <c r="D227" s="919"/>
      <c r="E227" s="652">
        <v>15</v>
      </c>
      <c r="F227" s="655" t="s">
        <v>355</v>
      </c>
      <c r="G227" s="652"/>
    </row>
    <row r="228" spans="3:9" x14ac:dyDescent="0.2">
      <c r="C228" s="920" t="s">
        <v>356</v>
      </c>
      <c r="D228" s="921"/>
      <c r="E228" s="922"/>
      <c r="F228" s="653" t="s">
        <v>111</v>
      </c>
      <c r="G228" s="675" t="s">
        <v>360</v>
      </c>
      <c r="H228" s="675" t="s">
        <v>361</v>
      </c>
      <c r="I228" s="676" t="s">
        <v>362</v>
      </c>
    </row>
    <row r="229" spans="3:9" x14ac:dyDescent="0.2">
      <c r="C229" s="903"/>
      <c r="D229" s="904"/>
      <c r="E229" s="905"/>
      <c r="F229" s="658"/>
      <c r="G229" s="658"/>
      <c r="H229" s="658"/>
      <c r="I229" s="660"/>
    </row>
    <row r="230" spans="3:9" x14ac:dyDescent="0.2">
      <c r="C230" s="903"/>
      <c r="D230" s="904"/>
      <c r="E230" s="905"/>
      <c r="F230" s="658"/>
      <c r="G230" s="658"/>
      <c r="H230" s="658"/>
      <c r="I230" s="660"/>
    </row>
    <row r="231" spans="3:9" x14ac:dyDescent="0.2">
      <c r="C231" s="903"/>
      <c r="D231" s="904"/>
      <c r="E231" s="905"/>
      <c r="F231" s="658"/>
      <c r="G231" s="658"/>
      <c r="H231" s="658"/>
      <c r="I231" s="660"/>
    </row>
    <row r="232" spans="3:9" x14ac:dyDescent="0.2">
      <c r="C232" s="903"/>
      <c r="D232" s="904"/>
      <c r="E232" s="905"/>
      <c r="F232" s="658"/>
      <c r="G232" s="658"/>
      <c r="H232" s="658"/>
      <c r="I232" s="660"/>
    </row>
    <row r="233" spans="3:9" x14ac:dyDescent="0.2">
      <c r="C233" s="903"/>
      <c r="D233" s="904"/>
      <c r="E233" s="905"/>
      <c r="F233" s="658"/>
      <c r="G233" s="658"/>
      <c r="H233" s="658"/>
      <c r="I233" s="660"/>
    </row>
    <row r="234" spans="3:9" x14ac:dyDescent="0.2">
      <c r="C234" s="903"/>
      <c r="D234" s="904"/>
      <c r="E234" s="905"/>
      <c r="F234" s="658"/>
      <c r="G234" s="658"/>
      <c r="H234" s="658"/>
      <c r="I234" s="660"/>
    </row>
    <row r="235" spans="3:9" x14ac:dyDescent="0.2">
      <c r="C235" s="903"/>
      <c r="D235" s="904"/>
      <c r="E235" s="905"/>
      <c r="F235" s="658"/>
      <c r="G235" s="658"/>
      <c r="H235" s="658"/>
      <c r="I235" s="660"/>
    </row>
    <row r="236" spans="3:9" x14ac:dyDescent="0.2">
      <c r="C236" s="903"/>
      <c r="D236" s="904"/>
      <c r="E236" s="905"/>
      <c r="F236" s="658"/>
      <c r="G236" s="658"/>
      <c r="H236" s="658"/>
      <c r="I236" s="660"/>
    </row>
    <row r="237" spans="3:9" x14ac:dyDescent="0.2">
      <c r="C237" s="903"/>
      <c r="D237" s="904"/>
      <c r="E237" s="905"/>
      <c r="F237" s="658"/>
      <c r="G237" s="658"/>
      <c r="H237" s="658"/>
      <c r="I237" s="660"/>
    </row>
    <row r="238" spans="3:9" x14ac:dyDescent="0.2">
      <c r="C238" s="903"/>
      <c r="D238" s="904"/>
      <c r="E238" s="905"/>
      <c r="F238" s="658"/>
      <c r="G238" s="658"/>
      <c r="H238" s="658"/>
      <c r="I238" s="660"/>
    </row>
    <row r="239" spans="3:9" ht="13.5" thickBot="1" x14ac:dyDescent="0.25">
      <c r="C239" s="906"/>
      <c r="D239" s="907"/>
      <c r="E239" s="908"/>
      <c r="F239" s="661"/>
      <c r="G239" s="661"/>
      <c r="H239" s="661"/>
      <c r="I239" s="662"/>
    </row>
    <row r="240" spans="3:9" ht="15.75" thickBot="1" x14ac:dyDescent="0.3">
      <c r="E240" s="655" t="s">
        <v>105</v>
      </c>
      <c r="F240" s="657">
        <f>SUM(F229:F239)</f>
        <v>0</v>
      </c>
      <c r="G240" s="657">
        <f>SUM(G229:G239)</f>
        <v>0</v>
      </c>
      <c r="H240" s="657">
        <f>SUM(H229:H239)</f>
        <v>0</v>
      </c>
      <c r="I240" s="657">
        <f>SUM(I229:I239)</f>
        <v>0</v>
      </c>
    </row>
    <row r="241" spans="3:9" x14ac:dyDescent="0.2"/>
    <row r="242" spans="3:9" ht="15.75" thickBot="1" x14ac:dyDescent="0.3">
      <c r="C242" s="919" t="s">
        <v>357</v>
      </c>
      <c r="D242" s="919"/>
      <c r="E242" s="652">
        <v>16</v>
      </c>
      <c r="F242" s="655" t="s">
        <v>355</v>
      </c>
      <c r="G242" s="652"/>
    </row>
    <row r="243" spans="3:9" x14ac:dyDescent="0.2">
      <c r="C243" s="920" t="s">
        <v>356</v>
      </c>
      <c r="D243" s="921"/>
      <c r="E243" s="922"/>
      <c r="F243" s="653" t="s">
        <v>111</v>
      </c>
      <c r="G243" s="675" t="s">
        <v>360</v>
      </c>
      <c r="H243" s="675" t="s">
        <v>361</v>
      </c>
      <c r="I243" s="676" t="s">
        <v>362</v>
      </c>
    </row>
    <row r="244" spans="3:9" x14ac:dyDescent="0.2">
      <c r="C244" s="903"/>
      <c r="D244" s="904"/>
      <c r="E244" s="905"/>
      <c r="F244" s="658"/>
      <c r="G244" s="658"/>
      <c r="H244" s="658"/>
      <c r="I244" s="660"/>
    </row>
    <row r="245" spans="3:9" x14ac:dyDescent="0.2">
      <c r="C245" s="903"/>
      <c r="D245" s="904"/>
      <c r="E245" s="905"/>
      <c r="F245" s="658"/>
      <c r="G245" s="658"/>
      <c r="H245" s="658"/>
      <c r="I245" s="660"/>
    </row>
    <row r="246" spans="3:9" x14ac:dyDescent="0.2">
      <c r="C246" s="903"/>
      <c r="D246" s="904"/>
      <c r="E246" s="905"/>
      <c r="F246" s="658"/>
      <c r="G246" s="658"/>
      <c r="H246" s="658"/>
      <c r="I246" s="660"/>
    </row>
    <row r="247" spans="3:9" x14ac:dyDescent="0.2">
      <c r="C247" s="903"/>
      <c r="D247" s="904"/>
      <c r="E247" s="905"/>
      <c r="F247" s="658"/>
      <c r="G247" s="658"/>
      <c r="H247" s="658"/>
      <c r="I247" s="660"/>
    </row>
    <row r="248" spans="3:9" x14ac:dyDescent="0.2">
      <c r="C248" s="903"/>
      <c r="D248" s="904"/>
      <c r="E248" s="905"/>
      <c r="F248" s="658"/>
      <c r="G248" s="658"/>
      <c r="H248" s="658"/>
      <c r="I248" s="660"/>
    </row>
    <row r="249" spans="3:9" x14ac:dyDescent="0.2">
      <c r="C249" s="903"/>
      <c r="D249" s="904"/>
      <c r="E249" s="905"/>
      <c r="F249" s="658"/>
      <c r="G249" s="658"/>
      <c r="H249" s="658"/>
      <c r="I249" s="660"/>
    </row>
    <row r="250" spans="3:9" x14ac:dyDescent="0.2">
      <c r="C250" s="903"/>
      <c r="D250" s="904"/>
      <c r="E250" s="905"/>
      <c r="F250" s="658"/>
      <c r="G250" s="658"/>
      <c r="H250" s="658"/>
      <c r="I250" s="660"/>
    </row>
    <row r="251" spans="3:9" x14ac:dyDescent="0.2">
      <c r="C251" s="903"/>
      <c r="D251" s="904"/>
      <c r="E251" s="905"/>
      <c r="F251" s="658"/>
      <c r="G251" s="658"/>
      <c r="H251" s="658"/>
      <c r="I251" s="660"/>
    </row>
    <row r="252" spans="3:9" x14ac:dyDescent="0.2">
      <c r="C252" s="903"/>
      <c r="D252" s="904"/>
      <c r="E252" s="905"/>
      <c r="F252" s="658"/>
      <c r="G252" s="658"/>
      <c r="H252" s="658"/>
      <c r="I252" s="660"/>
    </row>
    <row r="253" spans="3:9" x14ac:dyDescent="0.2">
      <c r="C253" s="903"/>
      <c r="D253" s="904"/>
      <c r="E253" s="905"/>
      <c r="F253" s="658"/>
      <c r="G253" s="658"/>
      <c r="H253" s="658"/>
      <c r="I253" s="660"/>
    </row>
    <row r="254" spans="3:9" ht="13.5" thickBot="1" x14ac:dyDescent="0.25">
      <c r="C254" s="906"/>
      <c r="D254" s="907"/>
      <c r="E254" s="908"/>
      <c r="F254" s="661"/>
      <c r="G254" s="661"/>
      <c r="H254" s="661"/>
      <c r="I254" s="662"/>
    </row>
    <row r="255" spans="3:9" ht="15.75" thickBot="1" x14ac:dyDescent="0.3">
      <c r="E255" s="655" t="s">
        <v>105</v>
      </c>
      <c r="F255" s="657">
        <f>SUM(F244:F254)</f>
        <v>0</v>
      </c>
      <c r="G255" s="657">
        <f>SUM(G244:G254)</f>
        <v>0</v>
      </c>
      <c r="H255" s="657">
        <f>SUM(H244:H254)</f>
        <v>0</v>
      </c>
      <c r="I255" s="657">
        <f>SUM(I244:I254)</f>
        <v>0</v>
      </c>
    </row>
    <row r="256" spans="3:9" x14ac:dyDescent="0.2"/>
    <row r="257" spans="3:9" ht="15.75" thickBot="1" x14ac:dyDescent="0.3">
      <c r="C257" s="919" t="s">
        <v>357</v>
      </c>
      <c r="D257" s="919"/>
      <c r="E257" s="652">
        <v>17</v>
      </c>
      <c r="F257" s="655" t="s">
        <v>355</v>
      </c>
      <c r="G257" s="652"/>
    </row>
    <row r="258" spans="3:9" x14ac:dyDescent="0.2">
      <c r="C258" s="920" t="s">
        <v>356</v>
      </c>
      <c r="D258" s="921"/>
      <c r="E258" s="922"/>
      <c r="F258" s="653" t="s">
        <v>111</v>
      </c>
      <c r="G258" s="675" t="s">
        <v>360</v>
      </c>
      <c r="H258" s="675" t="s">
        <v>361</v>
      </c>
      <c r="I258" s="676" t="s">
        <v>362</v>
      </c>
    </row>
    <row r="259" spans="3:9" x14ac:dyDescent="0.2">
      <c r="C259" s="903"/>
      <c r="D259" s="904"/>
      <c r="E259" s="905"/>
      <c r="F259" s="658"/>
      <c r="G259" s="658"/>
      <c r="H259" s="658"/>
      <c r="I259" s="660"/>
    </row>
    <row r="260" spans="3:9" x14ac:dyDescent="0.2">
      <c r="C260" s="903"/>
      <c r="D260" s="904"/>
      <c r="E260" s="905"/>
      <c r="F260" s="658"/>
      <c r="G260" s="658"/>
      <c r="H260" s="658"/>
      <c r="I260" s="660"/>
    </row>
    <row r="261" spans="3:9" x14ac:dyDescent="0.2">
      <c r="C261" s="903"/>
      <c r="D261" s="904"/>
      <c r="E261" s="905"/>
      <c r="F261" s="658"/>
      <c r="G261" s="658"/>
      <c r="H261" s="658"/>
      <c r="I261" s="660"/>
    </row>
    <row r="262" spans="3:9" x14ac:dyDescent="0.2">
      <c r="C262" s="903"/>
      <c r="D262" s="904"/>
      <c r="E262" s="905"/>
      <c r="F262" s="658"/>
      <c r="G262" s="658"/>
      <c r="H262" s="658"/>
      <c r="I262" s="660"/>
    </row>
    <row r="263" spans="3:9" x14ac:dyDescent="0.2">
      <c r="C263" s="903"/>
      <c r="D263" s="904"/>
      <c r="E263" s="905"/>
      <c r="F263" s="658"/>
      <c r="G263" s="658"/>
      <c r="H263" s="658"/>
      <c r="I263" s="660"/>
    </row>
    <row r="264" spans="3:9" x14ac:dyDescent="0.2">
      <c r="C264" s="903"/>
      <c r="D264" s="904"/>
      <c r="E264" s="905"/>
      <c r="F264" s="658"/>
      <c r="G264" s="658"/>
      <c r="H264" s="658"/>
      <c r="I264" s="660"/>
    </row>
    <row r="265" spans="3:9" x14ac:dyDescent="0.2">
      <c r="C265" s="903"/>
      <c r="D265" s="904"/>
      <c r="E265" s="905"/>
      <c r="F265" s="658"/>
      <c r="G265" s="658"/>
      <c r="H265" s="658"/>
      <c r="I265" s="660"/>
    </row>
    <row r="266" spans="3:9" x14ac:dyDescent="0.2">
      <c r="C266" s="903"/>
      <c r="D266" s="904"/>
      <c r="E266" s="905"/>
      <c r="F266" s="658"/>
      <c r="G266" s="658"/>
      <c r="H266" s="658"/>
      <c r="I266" s="660"/>
    </row>
    <row r="267" spans="3:9" x14ac:dyDescent="0.2">
      <c r="C267" s="903"/>
      <c r="D267" s="904"/>
      <c r="E267" s="905"/>
      <c r="F267" s="658"/>
      <c r="G267" s="658"/>
      <c r="H267" s="658"/>
      <c r="I267" s="660"/>
    </row>
    <row r="268" spans="3:9" x14ac:dyDescent="0.2">
      <c r="C268" s="903"/>
      <c r="D268" s="904"/>
      <c r="E268" s="905"/>
      <c r="F268" s="658"/>
      <c r="G268" s="658"/>
      <c r="H268" s="658"/>
      <c r="I268" s="660"/>
    </row>
    <row r="269" spans="3:9" ht="13.5" thickBot="1" x14ac:dyDescent="0.25">
      <c r="C269" s="906"/>
      <c r="D269" s="907"/>
      <c r="E269" s="908"/>
      <c r="F269" s="661"/>
      <c r="G269" s="661"/>
      <c r="H269" s="661"/>
      <c r="I269" s="662"/>
    </row>
    <row r="270" spans="3:9" ht="15.75" thickBot="1" x14ac:dyDescent="0.3">
      <c r="E270" s="655" t="s">
        <v>105</v>
      </c>
      <c r="F270" s="657">
        <f>SUM(F259:F269)</f>
        <v>0</v>
      </c>
      <c r="G270" s="657">
        <f>SUM(G259:G269)</f>
        <v>0</v>
      </c>
      <c r="H270" s="657">
        <f>SUM(H259:H269)</f>
        <v>0</v>
      </c>
      <c r="I270" s="657">
        <f>SUM(I259:I269)</f>
        <v>0</v>
      </c>
    </row>
    <row r="271" spans="3:9" x14ac:dyDescent="0.2"/>
    <row r="272" spans="3:9" ht="15.75" thickBot="1" x14ac:dyDescent="0.3">
      <c r="C272" s="919" t="s">
        <v>357</v>
      </c>
      <c r="D272" s="919"/>
      <c r="E272" s="652">
        <v>18</v>
      </c>
      <c r="F272" s="655" t="s">
        <v>355</v>
      </c>
      <c r="G272" s="652"/>
    </row>
    <row r="273" spans="3:9" x14ac:dyDescent="0.2">
      <c r="C273" s="920" t="s">
        <v>356</v>
      </c>
      <c r="D273" s="921"/>
      <c r="E273" s="922"/>
      <c r="F273" s="653" t="s">
        <v>111</v>
      </c>
      <c r="G273" s="675" t="s">
        <v>360</v>
      </c>
      <c r="H273" s="675" t="s">
        <v>361</v>
      </c>
      <c r="I273" s="676" t="s">
        <v>362</v>
      </c>
    </row>
    <row r="274" spans="3:9" x14ac:dyDescent="0.2">
      <c r="C274" s="903"/>
      <c r="D274" s="904"/>
      <c r="E274" s="905"/>
      <c r="F274" s="658"/>
      <c r="G274" s="658"/>
      <c r="H274" s="658"/>
      <c r="I274" s="660"/>
    </row>
    <row r="275" spans="3:9" x14ac:dyDescent="0.2">
      <c r="C275" s="903"/>
      <c r="D275" s="904"/>
      <c r="E275" s="905"/>
      <c r="F275" s="658"/>
      <c r="G275" s="658"/>
      <c r="H275" s="658"/>
      <c r="I275" s="660"/>
    </row>
    <row r="276" spans="3:9" x14ac:dyDescent="0.2">
      <c r="C276" s="903"/>
      <c r="D276" s="904"/>
      <c r="E276" s="905"/>
      <c r="F276" s="658"/>
      <c r="G276" s="658"/>
      <c r="H276" s="658"/>
      <c r="I276" s="660"/>
    </row>
    <row r="277" spans="3:9" x14ac:dyDescent="0.2">
      <c r="C277" s="903"/>
      <c r="D277" s="904"/>
      <c r="E277" s="905"/>
      <c r="F277" s="658"/>
      <c r="G277" s="658"/>
      <c r="H277" s="658"/>
      <c r="I277" s="660"/>
    </row>
    <row r="278" spans="3:9" x14ac:dyDescent="0.2">
      <c r="C278" s="903"/>
      <c r="D278" s="904"/>
      <c r="E278" s="905"/>
      <c r="F278" s="658"/>
      <c r="G278" s="658"/>
      <c r="H278" s="658"/>
      <c r="I278" s="660"/>
    </row>
    <row r="279" spans="3:9" x14ac:dyDescent="0.2">
      <c r="C279" s="903"/>
      <c r="D279" s="904"/>
      <c r="E279" s="905"/>
      <c r="F279" s="658"/>
      <c r="G279" s="658"/>
      <c r="H279" s="658"/>
      <c r="I279" s="660"/>
    </row>
    <row r="280" spans="3:9" x14ac:dyDescent="0.2">
      <c r="C280" s="903"/>
      <c r="D280" s="904"/>
      <c r="E280" s="905"/>
      <c r="F280" s="658"/>
      <c r="G280" s="658"/>
      <c r="H280" s="658"/>
      <c r="I280" s="660"/>
    </row>
    <row r="281" spans="3:9" x14ac:dyDescent="0.2">
      <c r="C281" s="903"/>
      <c r="D281" s="904"/>
      <c r="E281" s="905"/>
      <c r="F281" s="658"/>
      <c r="G281" s="658"/>
      <c r="H281" s="658"/>
      <c r="I281" s="660"/>
    </row>
    <row r="282" spans="3:9" x14ac:dyDescent="0.2">
      <c r="C282" s="903"/>
      <c r="D282" s="904"/>
      <c r="E282" s="905"/>
      <c r="F282" s="658"/>
      <c r="G282" s="658"/>
      <c r="H282" s="658"/>
      <c r="I282" s="660"/>
    </row>
    <row r="283" spans="3:9" x14ac:dyDescent="0.2">
      <c r="C283" s="903"/>
      <c r="D283" s="904"/>
      <c r="E283" s="905"/>
      <c r="F283" s="658"/>
      <c r="G283" s="658"/>
      <c r="H283" s="658"/>
      <c r="I283" s="660"/>
    </row>
    <row r="284" spans="3:9" ht="13.5" thickBot="1" x14ac:dyDescent="0.25">
      <c r="C284" s="906"/>
      <c r="D284" s="907"/>
      <c r="E284" s="908"/>
      <c r="F284" s="661"/>
      <c r="G284" s="661"/>
      <c r="H284" s="661"/>
      <c r="I284" s="662"/>
    </row>
    <row r="285" spans="3:9" ht="15.75" thickBot="1" x14ac:dyDescent="0.3">
      <c r="E285" s="655" t="s">
        <v>105</v>
      </c>
      <c r="F285" s="657">
        <f>SUM(F274:F284)</f>
        <v>0</v>
      </c>
      <c r="G285" s="657">
        <f>SUM(G274:G284)</f>
        <v>0</v>
      </c>
      <c r="H285" s="657">
        <f>SUM(H274:H284)</f>
        <v>0</v>
      </c>
      <c r="I285" s="657">
        <f>SUM(I274:I284)</f>
        <v>0</v>
      </c>
    </row>
    <row r="286" spans="3:9" x14ac:dyDescent="0.2"/>
    <row r="287" spans="3:9" ht="15.75" thickBot="1" x14ac:dyDescent="0.3">
      <c r="C287" s="919" t="s">
        <v>357</v>
      </c>
      <c r="D287" s="919"/>
      <c r="E287" s="652">
        <v>19</v>
      </c>
      <c r="F287" s="655" t="s">
        <v>355</v>
      </c>
      <c r="G287" s="652"/>
    </row>
    <row r="288" spans="3:9" x14ac:dyDescent="0.2">
      <c r="C288" s="920" t="s">
        <v>356</v>
      </c>
      <c r="D288" s="921"/>
      <c r="E288" s="922"/>
      <c r="F288" s="653" t="s">
        <v>111</v>
      </c>
      <c r="G288" s="675" t="s">
        <v>360</v>
      </c>
      <c r="H288" s="675" t="s">
        <v>361</v>
      </c>
      <c r="I288" s="676" t="s">
        <v>362</v>
      </c>
    </row>
    <row r="289" spans="3:9" x14ac:dyDescent="0.2">
      <c r="C289" s="903"/>
      <c r="D289" s="904"/>
      <c r="E289" s="905"/>
      <c r="F289" s="658"/>
      <c r="G289" s="658"/>
      <c r="H289" s="658"/>
      <c r="I289" s="660"/>
    </row>
    <row r="290" spans="3:9" x14ac:dyDescent="0.2">
      <c r="C290" s="903"/>
      <c r="D290" s="904"/>
      <c r="E290" s="905"/>
      <c r="F290" s="658"/>
      <c r="G290" s="658"/>
      <c r="H290" s="658"/>
      <c r="I290" s="660"/>
    </row>
    <row r="291" spans="3:9" x14ac:dyDescent="0.2">
      <c r="C291" s="903"/>
      <c r="D291" s="904"/>
      <c r="E291" s="905"/>
      <c r="F291" s="658"/>
      <c r="G291" s="658"/>
      <c r="H291" s="658"/>
      <c r="I291" s="660"/>
    </row>
    <row r="292" spans="3:9" x14ac:dyDescent="0.2">
      <c r="C292" s="903"/>
      <c r="D292" s="904"/>
      <c r="E292" s="905"/>
      <c r="F292" s="658"/>
      <c r="G292" s="658"/>
      <c r="H292" s="658"/>
      <c r="I292" s="660"/>
    </row>
    <row r="293" spans="3:9" x14ac:dyDescent="0.2">
      <c r="C293" s="903"/>
      <c r="D293" s="904"/>
      <c r="E293" s="905"/>
      <c r="F293" s="658"/>
      <c r="G293" s="658"/>
      <c r="H293" s="658"/>
      <c r="I293" s="660"/>
    </row>
    <row r="294" spans="3:9" x14ac:dyDescent="0.2">
      <c r="C294" s="903"/>
      <c r="D294" s="904"/>
      <c r="E294" s="905"/>
      <c r="F294" s="658"/>
      <c r="G294" s="658"/>
      <c r="H294" s="658"/>
      <c r="I294" s="660"/>
    </row>
    <row r="295" spans="3:9" x14ac:dyDescent="0.2">
      <c r="C295" s="903"/>
      <c r="D295" s="904"/>
      <c r="E295" s="905"/>
      <c r="F295" s="658"/>
      <c r="G295" s="658"/>
      <c r="H295" s="658"/>
      <c r="I295" s="660"/>
    </row>
    <row r="296" spans="3:9" x14ac:dyDescent="0.2">
      <c r="C296" s="903"/>
      <c r="D296" s="904"/>
      <c r="E296" s="905"/>
      <c r="F296" s="658"/>
      <c r="G296" s="658"/>
      <c r="H296" s="658"/>
      <c r="I296" s="660"/>
    </row>
    <row r="297" spans="3:9" x14ac:dyDescent="0.2">
      <c r="C297" s="903"/>
      <c r="D297" s="904"/>
      <c r="E297" s="905"/>
      <c r="F297" s="658"/>
      <c r="G297" s="658"/>
      <c r="H297" s="658"/>
      <c r="I297" s="660"/>
    </row>
    <row r="298" spans="3:9" x14ac:dyDescent="0.2">
      <c r="C298" s="903"/>
      <c r="D298" s="904"/>
      <c r="E298" s="905"/>
      <c r="F298" s="658"/>
      <c r="G298" s="658"/>
      <c r="H298" s="658"/>
      <c r="I298" s="660"/>
    </row>
    <row r="299" spans="3:9" ht="13.5" thickBot="1" x14ac:dyDescent="0.25">
      <c r="C299" s="906"/>
      <c r="D299" s="907"/>
      <c r="E299" s="908"/>
      <c r="F299" s="661"/>
      <c r="G299" s="661"/>
      <c r="H299" s="661"/>
      <c r="I299" s="662"/>
    </row>
    <row r="300" spans="3:9" ht="15.75" thickBot="1" x14ac:dyDescent="0.3">
      <c r="E300" s="655" t="s">
        <v>105</v>
      </c>
      <c r="F300" s="657">
        <f>SUM(F289:F299)</f>
        <v>0</v>
      </c>
      <c r="G300" s="657">
        <f>SUM(G289:G299)</f>
        <v>0</v>
      </c>
      <c r="H300" s="657">
        <f>SUM(H289:H299)</f>
        <v>0</v>
      </c>
      <c r="I300" s="657">
        <f>SUM(I289:I299)</f>
        <v>0</v>
      </c>
    </row>
    <row r="301" spans="3:9" x14ac:dyDescent="0.2"/>
    <row r="302" spans="3:9" ht="15.75" thickBot="1" x14ac:dyDescent="0.3">
      <c r="C302" s="919" t="s">
        <v>357</v>
      </c>
      <c r="D302" s="919"/>
      <c r="E302" s="652">
        <v>20</v>
      </c>
      <c r="F302" s="655" t="s">
        <v>355</v>
      </c>
      <c r="G302" s="652"/>
    </row>
    <row r="303" spans="3:9" x14ac:dyDescent="0.2">
      <c r="C303" s="920" t="s">
        <v>356</v>
      </c>
      <c r="D303" s="921"/>
      <c r="E303" s="922"/>
      <c r="F303" s="653" t="s">
        <v>111</v>
      </c>
      <c r="G303" s="675" t="s">
        <v>360</v>
      </c>
      <c r="H303" s="675" t="s">
        <v>361</v>
      </c>
      <c r="I303" s="676" t="s">
        <v>362</v>
      </c>
    </row>
    <row r="304" spans="3:9" x14ac:dyDescent="0.2">
      <c r="C304" s="903"/>
      <c r="D304" s="904"/>
      <c r="E304" s="905"/>
      <c r="F304" s="658"/>
      <c r="G304" s="658"/>
      <c r="H304" s="658"/>
      <c r="I304" s="660"/>
    </row>
    <row r="305" spans="3:9" x14ac:dyDescent="0.2">
      <c r="C305" s="903"/>
      <c r="D305" s="904"/>
      <c r="E305" s="905"/>
      <c r="F305" s="658"/>
      <c r="G305" s="658"/>
      <c r="H305" s="658"/>
      <c r="I305" s="660"/>
    </row>
    <row r="306" spans="3:9" x14ac:dyDescent="0.2">
      <c r="C306" s="903"/>
      <c r="D306" s="904"/>
      <c r="E306" s="905"/>
      <c r="F306" s="658"/>
      <c r="G306" s="658"/>
      <c r="H306" s="658"/>
      <c r="I306" s="660"/>
    </row>
    <row r="307" spans="3:9" x14ac:dyDescent="0.2">
      <c r="C307" s="903"/>
      <c r="D307" s="904"/>
      <c r="E307" s="905"/>
      <c r="F307" s="658"/>
      <c r="G307" s="658"/>
      <c r="H307" s="658"/>
      <c r="I307" s="660"/>
    </row>
    <row r="308" spans="3:9" x14ac:dyDescent="0.2">
      <c r="C308" s="903"/>
      <c r="D308" s="904"/>
      <c r="E308" s="905"/>
      <c r="F308" s="658"/>
      <c r="G308" s="658"/>
      <c r="H308" s="658"/>
      <c r="I308" s="660"/>
    </row>
    <row r="309" spans="3:9" x14ac:dyDescent="0.2">
      <c r="C309" s="903"/>
      <c r="D309" s="904"/>
      <c r="E309" s="905"/>
      <c r="F309" s="658"/>
      <c r="G309" s="658"/>
      <c r="H309" s="658"/>
      <c r="I309" s="660"/>
    </row>
    <row r="310" spans="3:9" x14ac:dyDescent="0.2">
      <c r="C310" s="903"/>
      <c r="D310" s="904"/>
      <c r="E310" s="905"/>
      <c r="F310" s="658"/>
      <c r="G310" s="658"/>
      <c r="H310" s="658"/>
      <c r="I310" s="660"/>
    </row>
    <row r="311" spans="3:9" x14ac:dyDescent="0.2">
      <c r="C311" s="903"/>
      <c r="D311" s="904"/>
      <c r="E311" s="905"/>
      <c r="F311" s="658"/>
      <c r="G311" s="658"/>
      <c r="H311" s="658"/>
      <c r="I311" s="660"/>
    </row>
    <row r="312" spans="3:9" x14ac:dyDescent="0.2">
      <c r="C312" s="903"/>
      <c r="D312" s="904"/>
      <c r="E312" s="905"/>
      <c r="F312" s="658"/>
      <c r="G312" s="658"/>
      <c r="H312" s="658"/>
      <c r="I312" s="660"/>
    </row>
    <row r="313" spans="3:9" x14ac:dyDescent="0.2">
      <c r="C313" s="903"/>
      <c r="D313" s="904"/>
      <c r="E313" s="905"/>
      <c r="F313" s="658"/>
      <c r="G313" s="658"/>
      <c r="H313" s="658"/>
      <c r="I313" s="660"/>
    </row>
    <row r="314" spans="3:9" ht="13.5" thickBot="1" x14ac:dyDescent="0.25">
      <c r="C314" s="906"/>
      <c r="D314" s="907"/>
      <c r="E314" s="908"/>
      <c r="F314" s="661"/>
      <c r="G314" s="661"/>
      <c r="H314" s="661"/>
      <c r="I314" s="662"/>
    </row>
    <row r="315" spans="3:9" ht="15.75" thickBot="1" x14ac:dyDescent="0.3">
      <c r="E315" s="655" t="s">
        <v>105</v>
      </c>
      <c r="F315" s="657">
        <f>SUM(F304:F314)</f>
        <v>0</v>
      </c>
      <c r="G315" s="657">
        <f>SUM(G304:G314)</f>
        <v>0</v>
      </c>
      <c r="H315" s="657">
        <f>SUM(H304:H314)</f>
        <v>0</v>
      </c>
      <c r="I315" s="657">
        <f>SUM(I304:I314)</f>
        <v>0</v>
      </c>
    </row>
    <row r="316" spans="3:9" x14ac:dyDescent="0.2"/>
    <row r="317" spans="3:9" ht="15.75" thickBot="1" x14ac:dyDescent="0.3">
      <c r="C317" s="919" t="s">
        <v>357</v>
      </c>
      <c r="D317" s="919"/>
      <c r="E317" s="652">
        <v>21</v>
      </c>
      <c r="F317" s="655" t="s">
        <v>355</v>
      </c>
      <c r="G317" s="652"/>
    </row>
    <row r="318" spans="3:9" x14ac:dyDescent="0.2">
      <c r="C318" s="920" t="s">
        <v>356</v>
      </c>
      <c r="D318" s="921"/>
      <c r="E318" s="922"/>
      <c r="F318" s="653" t="s">
        <v>111</v>
      </c>
      <c r="G318" s="675" t="s">
        <v>360</v>
      </c>
      <c r="H318" s="675" t="s">
        <v>361</v>
      </c>
      <c r="I318" s="676" t="s">
        <v>362</v>
      </c>
    </row>
    <row r="319" spans="3:9" x14ac:dyDescent="0.2">
      <c r="C319" s="903"/>
      <c r="D319" s="904"/>
      <c r="E319" s="905"/>
      <c r="F319" s="658"/>
      <c r="G319" s="658"/>
      <c r="H319" s="658"/>
      <c r="I319" s="660"/>
    </row>
    <row r="320" spans="3:9" x14ac:dyDescent="0.2">
      <c r="C320" s="903"/>
      <c r="D320" s="904"/>
      <c r="E320" s="905"/>
      <c r="F320" s="658"/>
      <c r="G320" s="658"/>
      <c r="H320" s="658"/>
      <c r="I320" s="660"/>
    </row>
    <row r="321" spans="3:9" x14ac:dyDescent="0.2">
      <c r="C321" s="903"/>
      <c r="D321" s="904"/>
      <c r="E321" s="905"/>
      <c r="F321" s="658"/>
      <c r="G321" s="658"/>
      <c r="H321" s="658"/>
      <c r="I321" s="660"/>
    </row>
    <row r="322" spans="3:9" x14ac:dyDescent="0.2">
      <c r="C322" s="903"/>
      <c r="D322" s="904"/>
      <c r="E322" s="905"/>
      <c r="F322" s="658"/>
      <c r="G322" s="658"/>
      <c r="H322" s="658"/>
      <c r="I322" s="660"/>
    </row>
    <row r="323" spans="3:9" x14ac:dyDescent="0.2">
      <c r="C323" s="903"/>
      <c r="D323" s="904"/>
      <c r="E323" s="905"/>
      <c r="F323" s="658"/>
      <c r="G323" s="658"/>
      <c r="H323" s="658"/>
      <c r="I323" s="660"/>
    </row>
    <row r="324" spans="3:9" x14ac:dyDescent="0.2">
      <c r="C324" s="903"/>
      <c r="D324" s="904"/>
      <c r="E324" s="905"/>
      <c r="F324" s="658"/>
      <c r="G324" s="658"/>
      <c r="H324" s="658"/>
      <c r="I324" s="660"/>
    </row>
    <row r="325" spans="3:9" x14ac:dyDescent="0.2">
      <c r="C325" s="903"/>
      <c r="D325" s="904"/>
      <c r="E325" s="905"/>
      <c r="F325" s="658"/>
      <c r="G325" s="658"/>
      <c r="H325" s="658"/>
      <c r="I325" s="660"/>
    </row>
    <row r="326" spans="3:9" x14ac:dyDescent="0.2">
      <c r="C326" s="903"/>
      <c r="D326" s="904"/>
      <c r="E326" s="905"/>
      <c r="F326" s="658"/>
      <c r="G326" s="658"/>
      <c r="H326" s="658"/>
      <c r="I326" s="660"/>
    </row>
    <row r="327" spans="3:9" x14ac:dyDescent="0.2">
      <c r="C327" s="903"/>
      <c r="D327" s="904"/>
      <c r="E327" s="905"/>
      <c r="F327" s="658"/>
      <c r="G327" s="658"/>
      <c r="H327" s="658"/>
      <c r="I327" s="660"/>
    </row>
    <row r="328" spans="3:9" x14ac:dyDescent="0.2">
      <c r="C328" s="903"/>
      <c r="D328" s="904"/>
      <c r="E328" s="905"/>
      <c r="F328" s="658"/>
      <c r="G328" s="658"/>
      <c r="H328" s="658"/>
      <c r="I328" s="660"/>
    </row>
    <row r="329" spans="3:9" ht="13.5" thickBot="1" x14ac:dyDescent="0.25">
      <c r="C329" s="906"/>
      <c r="D329" s="907"/>
      <c r="E329" s="908"/>
      <c r="F329" s="661"/>
      <c r="G329" s="661"/>
      <c r="H329" s="661"/>
      <c r="I329" s="662"/>
    </row>
    <row r="330" spans="3:9" ht="15.75" thickBot="1" x14ac:dyDescent="0.3">
      <c r="E330" s="655" t="s">
        <v>105</v>
      </c>
      <c r="F330" s="657">
        <f>SUM(F319:F329)</f>
        <v>0</v>
      </c>
      <c r="G330" s="657">
        <f>SUM(G319:G329)</f>
        <v>0</v>
      </c>
      <c r="H330" s="657">
        <f>SUM(H319:H329)</f>
        <v>0</v>
      </c>
      <c r="I330" s="657">
        <f>SUM(I319:I329)</f>
        <v>0</v>
      </c>
    </row>
    <row r="331" spans="3:9" x14ac:dyDescent="0.2"/>
    <row r="332" spans="3:9" ht="15.75" thickBot="1" x14ac:dyDescent="0.3">
      <c r="C332" s="919" t="s">
        <v>357</v>
      </c>
      <c r="D332" s="919"/>
      <c r="E332" s="652">
        <v>22</v>
      </c>
      <c r="F332" s="655" t="s">
        <v>355</v>
      </c>
      <c r="G332" s="652"/>
    </row>
    <row r="333" spans="3:9" x14ac:dyDescent="0.2">
      <c r="C333" s="920" t="s">
        <v>356</v>
      </c>
      <c r="D333" s="921"/>
      <c r="E333" s="922"/>
      <c r="F333" s="653" t="s">
        <v>111</v>
      </c>
      <c r="G333" s="675" t="s">
        <v>360</v>
      </c>
      <c r="H333" s="675" t="s">
        <v>361</v>
      </c>
      <c r="I333" s="676" t="s">
        <v>362</v>
      </c>
    </row>
    <row r="334" spans="3:9" x14ac:dyDescent="0.2">
      <c r="C334" s="903"/>
      <c r="D334" s="904"/>
      <c r="E334" s="905"/>
      <c r="F334" s="658"/>
      <c r="G334" s="658"/>
      <c r="H334" s="658"/>
      <c r="I334" s="660"/>
    </row>
    <row r="335" spans="3:9" x14ac:dyDescent="0.2">
      <c r="C335" s="903"/>
      <c r="D335" s="904"/>
      <c r="E335" s="905"/>
      <c r="F335" s="658"/>
      <c r="G335" s="658"/>
      <c r="H335" s="658"/>
      <c r="I335" s="660"/>
    </row>
    <row r="336" spans="3:9" x14ac:dyDescent="0.2">
      <c r="C336" s="903"/>
      <c r="D336" s="904"/>
      <c r="E336" s="905"/>
      <c r="F336" s="658"/>
      <c r="G336" s="658"/>
      <c r="H336" s="658"/>
      <c r="I336" s="660"/>
    </row>
    <row r="337" spans="3:9" x14ac:dyDescent="0.2">
      <c r="C337" s="903"/>
      <c r="D337" s="904"/>
      <c r="E337" s="905"/>
      <c r="F337" s="658"/>
      <c r="G337" s="658"/>
      <c r="H337" s="658"/>
      <c r="I337" s="660"/>
    </row>
    <row r="338" spans="3:9" x14ac:dyDescent="0.2">
      <c r="C338" s="903"/>
      <c r="D338" s="904"/>
      <c r="E338" s="905"/>
      <c r="F338" s="658"/>
      <c r="G338" s="658"/>
      <c r="H338" s="658"/>
      <c r="I338" s="660"/>
    </row>
    <row r="339" spans="3:9" x14ac:dyDescent="0.2">
      <c r="C339" s="903"/>
      <c r="D339" s="904"/>
      <c r="E339" s="905"/>
      <c r="F339" s="658"/>
      <c r="G339" s="658"/>
      <c r="H339" s="658"/>
      <c r="I339" s="660"/>
    </row>
    <row r="340" spans="3:9" x14ac:dyDescent="0.2">
      <c r="C340" s="903"/>
      <c r="D340" s="904"/>
      <c r="E340" s="905"/>
      <c r="F340" s="658"/>
      <c r="G340" s="658"/>
      <c r="H340" s="658"/>
      <c r="I340" s="660"/>
    </row>
    <row r="341" spans="3:9" x14ac:dyDescent="0.2">
      <c r="C341" s="903"/>
      <c r="D341" s="904"/>
      <c r="E341" s="905"/>
      <c r="F341" s="658"/>
      <c r="G341" s="658"/>
      <c r="H341" s="658"/>
      <c r="I341" s="660"/>
    </row>
    <row r="342" spans="3:9" x14ac:dyDescent="0.2">
      <c r="C342" s="903"/>
      <c r="D342" s="904"/>
      <c r="E342" s="905"/>
      <c r="F342" s="658"/>
      <c r="G342" s="658"/>
      <c r="H342" s="658"/>
      <c r="I342" s="660"/>
    </row>
    <row r="343" spans="3:9" x14ac:dyDescent="0.2">
      <c r="C343" s="903"/>
      <c r="D343" s="904"/>
      <c r="E343" s="905"/>
      <c r="F343" s="658"/>
      <c r="G343" s="658"/>
      <c r="H343" s="658"/>
      <c r="I343" s="660"/>
    </row>
    <row r="344" spans="3:9" ht="13.5" thickBot="1" x14ac:dyDescent="0.25">
      <c r="C344" s="906"/>
      <c r="D344" s="907"/>
      <c r="E344" s="908"/>
      <c r="F344" s="661"/>
      <c r="G344" s="661"/>
      <c r="H344" s="661"/>
      <c r="I344" s="662"/>
    </row>
    <row r="345" spans="3:9" ht="15.75" thickBot="1" x14ac:dyDescent="0.3">
      <c r="E345" s="655" t="s">
        <v>105</v>
      </c>
      <c r="F345" s="657">
        <f>SUM(F334:F344)</f>
        <v>0</v>
      </c>
      <c r="G345" s="657">
        <f>SUM(G334:G344)</f>
        <v>0</v>
      </c>
      <c r="H345" s="657">
        <f>SUM(H334:H344)</f>
        <v>0</v>
      </c>
      <c r="I345" s="657">
        <f>SUM(I334:I344)</f>
        <v>0</v>
      </c>
    </row>
    <row r="346" spans="3:9" x14ac:dyDescent="0.2"/>
    <row r="347" spans="3:9" ht="15.75" thickBot="1" x14ac:dyDescent="0.3">
      <c r="C347" s="919" t="s">
        <v>357</v>
      </c>
      <c r="D347" s="919"/>
      <c r="E347" s="652">
        <v>23</v>
      </c>
      <c r="F347" s="655" t="s">
        <v>355</v>
      </c>
      <c r="G347" s="652"/>
    </row>
    <row r="348" spans="3:9" x14ac:dyDescent="0.2">
      <c r="C348" s="920" t="s">
        <v>356</v>
      </c>
      <c r="D348" s="921"/>
      <c r="E348" s="922"/>
      <c r="F348" s="653" t="s">
        <v>111</v>
      </c>
      <c r="G348" s="675" t="s">
        <v>360</v>
      </c>
      <c r="H348" s="675" t="s">
        <v>361</v>
      </c>
      <c r="I348" s="676" t="s">
        <v>362</v>
      </c>
    </row>
    <row r="349" spans="3:9" x14ac:dyDescent="0.2">
      <c r="C349" s="903"/>
      <c r="D349" s="904"/>
      <c r="E349" s="905"/>
      <c r="F349" s="658"/>
      <c r="G349" s="658"/>
      <c r="H349" s="658"/>
      <c r="I349" s="660"/>
    </row>
    <row r="350" spans="3:9" x14ac:dyDescent="0.2">
      <c r="C350" s="903"/>
      <c r="D350" s="904"/>
      <c r="E350" s="905"/>
      <c r="F350" s="658"/>
      <c r="G350" s="658"/>
      <c r="H350" s="658"/>
      <c r="I350" s="660"/>
    </row>
    <row r="351" spans="3:9" x14ac:dyDescent="0.2">
      <c r="C351" s="903"/>
      <c r="D351" s="904"/>
      <c r="E351" s="905"/>
      <c r="F351" s="658"/>
      <c r="G351" s="658"/>
      <c r="H351" s="658"/>
      <c r="I351" s="660"/>
    </row>
    <row r="352" spans="3:9" x14ac:dyDescent="0.2">
      <c r="C352" s="903"/>
      <c r="D352" s="904"/>
      <c r="E352" s="905"/>
      <c r="F352" s="658"/>
      <c r="G352" s="658"/>
      <c r="H352" s="658"/>
      <c r="I352" s="660"/>
    </row>
    <row r="353" spans="3:9" x14ac:dyDescent="0.2">
      <c r="C353" s="903"/>
      <c r="D353" s="904"/>
      <c r="E353" s="905"/>
      <c r="F353" s="658"/>
      <c r="G353" s="658"/>
      <c r="H353" s="658"/>
      <c r="I353" s="660"/>
    </row>
    <row r="354" spans="3:9" x14ac:dyDescent="0.2">
      <c r="C354" s="903"/>
      <c r="D354" s="904"/>
      <c r="E354" s="905"/>
      <c r="F354" s="658"/>
      <c r="G354" s="658"/>
      <c r="H354" s="658"/>
      <c r="I354" s="660"/>
    </row>
    <row r="355" spans="3:9" x14ac:dyDescent="0.2">
      <c r="C355" s="903"/>
      <c r="D355" s="904"/>
      <c r="E355" s="905"/>
      <c r="F355" s="658"/>
      <c r="G355" s="658"/>
      <c r="H355" s="658"/>
      <c r="I355" s="660"/>
    </row>
    <row r="356" spans="3:9" x14ac:dyDescent="0.2">
      <c r="C356" s="903"/>
      <c r="D356" s="904"/>
      <c r="E356" s="905"/>
      <c r="F356" s="658"/>
      <c r="G356" s="658"/>
      <c r="H356" s="658"/>
      <c r="I356" s="660"/>
    </row>
    <row r="357" spans="3:9" x14ac:dyDescent="0.2">
      <c r="C357" s="903"/>
      <c r="D357" s="904"/>
      <c r="E357" s="905"/>
      <c r="F357" s="658"/>
      <c r="G357" s="658"/>
      <c r="H357" s="658"/>
      <c r="I357" s="660"/>
    </row>
    <row r="358" spans="3:9" x14ac:dyDescent="0.2">
      <c r="C358" s="903"/>
      <c r="D358" s="904"/>
      <c r="E358" s="905"/>
      <c r="F358" s="658"/>
      <c r="G358" s="658"/>
      <c r="H358" s="658"/>
      <c r="I358" s="660"/>
    </row>
    <row r="359" spans="3:9" ht="13.5" thickBot="1" x14ac:dyDescent="0.25">
      <c r="C359" s="906"/>
      <c r="D359" s="907"/>
      <c r="E359" s="908"/>
      <c r="F359" s="661"/>
      <c r="G359" s="661"/>
      <c r="H359" s="661"/>
      <c r="I359" s="662"/>
    </row>
    <row r="360" spans="3:9" ht="15.75" thickBot="1" x14ac:dyDescent="0.3">
      <c r="E360" s="655" t="s">
        <v>105</v>
      </c>
      <c r="F360" s="657">
        <f>SUM(F349:F359)</f>
        <v>0</v>
      </c>
      <c r="G360" s="657">
        <f>SUM(G349:G359)</f>
        <v>0</v>
      </c>
      <c r="H360" s="657">
        <f>SUM(H349:H359)</f>
        <v>0</v>
      </c>
      <c r="I360" s="657">
        <f>SUM(I349:I359)</f>
        <v>0</v>
      </c>
    </row>
    <row r="361" spans="3:9" x14ac:dyDescent="0.2"/>
    <row r="362" spans="3:9" ht="15.75" thickBot="1" x14ac:dyDescent="0.3">
      <c r="C362" s="919" t="s">
        <v>357</v>
      </c>
      <c r="D362" s="919"/>
      <c r="E362" s="652">
        <v>24</v>
      </c>
      <c r="F362" s="655" t="s">
        <v>355</v>
      </c>
      <c r="G362" s="652"/>
    </row>
    <row r="363" spans="3:9" x14ac:dyDescent="0.2">
      <c r="C363" s="920" t="s">
        <v>356</v>
      </c>
      <c r="D363" s="921"/>
      <c r="E363" s="922"/>
      <c r="F363" s="653" t="s">
        <v>111</v>
      </c>
      <c r="G363" s="675" t="s">
        <v>360</v>
      </c>
      <c r="H363" s="675" t="s">
        <v>361</v>
      </c>
      <c r="I363" s="676" t="s">
        <v>362</v>
      </c>
    </row>
    <row r="364" spans="3:9" x14ac:dyDescent="0.2">
      <c r="C364" s="903"/>
      <c r="D364" s="904"/>
      <c r="E364" s="905"/>
      <c r="F364" s="658"/>
      <c r="G364" s="658"/>
      <c r="H364" s="658"/>
      <c r="I364" s="660"/>
    </row>
    <row r="365" spans="3:9" x14ac:dyDescent="0.2">
      <c r="C365" s="903"/>
      <c r="D365" s="904"/>
      <c r="E365" s="905"/>
      <c r="F365" s="658"/>
      <c r="G365" s="658"/>
      <c r="H365" s="658"/>
      <c r="I365" s="660"/>
    </row>
    <row r="366" spans="3:9" x14ac:dyDescent="0.2">
      <c r="C366" s="903"/>
      <c r="D366" s="904"/>
      <c r="E366" s="905"/>
      <c r="F366" s="658"/>
      <c r="G366" s="658"/>
      <c r="H366" s="658"/>
      <c r="I366" s="660"/>
    </row>
    <row r="367" spans="3:9" x14ac:dyDescent="0.2">
      <c r="C367" s="903"/>
      <c r="D367" s="904"/>
      <c r="E367" s="905"/>
      <c r="F367" s="658"/>
      <c r="G367" s="658"/>
      <c r="H367" s="658"/>
      <c r="I367" s="660"/>
    </row>
    <row r="368" spans="3:9" x14ac:dyDescent="0.2">
      <c r="C368" s="903"/>
      <c r="D368" s="904"/>
      <c r="E368" s="905"/>
      <c r="F368" s="658"/>
      <c r="G368" s="658"/>
      <c r="H368" s="658"/>
      <c r="I368" s="660"/>
    </row>
    <row r="369" spans="3:9" x14ac:dyDescent="0.2">
      <c r="C369" s="903"/>
      <c r="D369" s="904"/>
      <c r="E369" s="905"/>
      <c r="F369" s="658"/>
      <c r="G369" s="658"/>
      <c r="H369" s="658"/>
      <c r="I369" s="660"/>
    </row>
    <row r="370" spans="3:9" x14ac:dyDescent="0.2">
      <c r="C370" s="903"/>
      <c r="D370" s="904"/>
      <c r="E370" s="905"/>
      <c r="F370" s="658"/>
      <c r="G370" s="658"/>
      <c r="H370" s="658"/>
      <c r="I370" s="660"/>
    </row>
    <row r="371" spans="3:9" x14ac:dyDescent="0.2">
      <c r="C371" s="903"/>
      <c r="D371" s="904"/>
      <c r="E371" s="905"/>
      <c r="F371" s="658"/>
      <c r="G371" s="658"/>
      <c r="H371" s="658"/>
      <c r="I371" s="660"/>
    </row>
    <row r="372" spans="3:9" x14ac:dyDescent="0.2">
      <c r="C372" s="903"/>
      <c r="D372" s="904"/>
      <c r="E372" s="905"/>
      <c r="F372" s="658"/>
      <c r="G372" s="658"/>
      <c r="H372" s="658"/>
      <c r="I372" s="660"/>
    </row>
    <row r="373" spans="3:9" x14ac:dyDescent="0.2">
      <c r="C373" s="903"/>
      <c r="D373" s="904"/>
      <c r="E373" s="905"/>
      <c r="F373" s="658"/>
      <c r="G373" s="658"/>
      <c r="H373" s="658"/>
      <c r="I373" s="660"/>
    </row>
    <row r="374" spans="3:9" ht="13.5" thickBot="1" x14ac:dyDescent="0.25">
      <c r="C374" s="906"/>
      <c r="D374" s="907"/>
      <c r="E374" s="908"/>
      <c r="F374" s="661"/>
      <c r="G374" s="661"/>
      <c r="H374" s="661"/>
      <c r="I374" s="662"/>
    </row>
    <row r="375" spans="3:9" ht="15.75" thickBot="1" x14ac:dyDescent="0.3">
      <c r="E375" s="655" t="s">
        <v>105</v>
      </c>
      <c r="F375" s="657">
        <f>SUM(F364:F374)</f>
        <v>0</v>
      </c>
      <c r="G375" s="657">
        <f>SUM(G364:G374)</f>
        <v>0</v>
      </c>
      <c r="H375" s="657">
        <f>SUM(H364:H374)</f>
        <v>0</v>
      </c>
      <c r="I375" s="657">
        <f>SUM(I364:I374)</f>
        <v>0</v>
      </c>
    </row>
    <row r="376" spans="3:9" x14ac:dyDescent="0.2"/>
    <row r="377" spans="3:9" ht="15.75" thickBot="1" x14ac:dyDescent="0.3">
      <c r="C377" s="919" t="s">
        <v>357</v>
      </c>
      <c r="D377" s="919"/>
      <c r="E377" s="652">
        <v>25</v>
      </c>
      <c r="F377" s="655" t="s">
        <v>355</v>
      </c>
      <c r="G377" s="652"/>
    </row>
    <row r="378" spans="3:9" x14ac:dyDescent="0.2">
      <c r="C378" s="920" t="s">
        <v>356</v>
      </c>
      <c r="D378" s="921"/>
      <c r="E378" s="922"/>
      <c r="F378" s="653" t="s">
        <v>111</v>
      </c>
      <c r="G378" s="675" t="s">
        <v>360</v>
      </c>
      <c r="H378" s="675" t="s">
        <v>361</v>
      </c>
      <c r="I378" s="676" t="s">
        <v>362</v>
      </c>
    </row>
    <row r="379" spans="3:9" x14ac:dyDescent="0.2">
      <c r="C379" s="903"/>
      <c r="D379" s="904"/>
      <c r="E379" s="905"/>
      <c r="F379" s="658"/>
      <c r="G379" s="658"/>
      <c r="H379" s="658"/>
      <c r="I379" s="660"/>
    </row>
    <row r="380" spans="3:9" x14ac:dyDescent="0.2">
      <c r="C380" s="903"/>
      <c r="D380" s="904"/>
      <c r="E380" s="905"/>
      <c r="F380" s="658"/>
      <c r="G380" s="658"/>
      <c r="H380" s="658"/>
      <c r="I380" s="660"/>
    </row>
    <row r="381" spans="3:9" x14ac:dyDescent="0.2">
      <c r="C381" s="903"/>
      <c r="D381" s="904"/>
      <c r="E381" s="905"/>
      <c r="F381" s="658"/>
      <c r="G381" s="658"/>
      <c r="H381" s="658"/>
      <c r="I381" s="660"/>
    </row>
    <row r="382" spans="3:9" x14ac:dyDescent="0.2">
      <c r="C382" s="903"/>
      <c r="D382" s="904"/>
      <c r="E382" s="905"/>
      <c r="F382" s="658"/>
      <c r="G382" s="658"/>
      <c r="H382" s="658"/>
      <c r="I382" s="660"/>
    </row>
    <row r="383" spans="3:9" x14ac:dyDescent="0.2">
      <c r="C383" s="903"/>
      <c r="D383" s="904"/>
      <c r="E383" s="905"/>
      <c r="F383" s="658"/>
      <c r="G383" s="658"/>
      <c r="H383" s="658"/>
      <c r="I383" s="660"/>
    </row>
    <row r="384" spans="3:9" x14ac:dyDescent="0.2">
      <c r="C384" s="903"/>
      <c r="D384" s="904"/>
      <c r="E384" s="905"/>
      <c r="F384" s="658"/>
      <c r="G384" s="658"/>
      <c r="H384" s="658"/>
      <c r="I384" s="660"/>
    </row>
    <row r="385" spans="3:9" x14ac:dyDescent="0.2">
      <c r="C385" s="903"/>
      <c r="D385" s="904"/>
      <c r="E385" s="905"/>
      <c r="F385" s="658"/>
      <c r="G385" s="658"/>
      <c r="H385" s="658"/>
      <c r="I385" s="660"/>
    </row>
    <row r="386" spans="3:9" x14ac:dyDescent="0.2">
      <c r="C386" s="903"/>
      <c r="D386" s="904"/>
      <c r="E386" s="905"/>
      <c r="F386" s="658"/>
      <c r="G386" s="658"/>
      <c r="H386" s="658"/>
      <c r="I386" s="660"/>
    </row>
    <row r="387" spans="3:9" x14ac:dyDescent="0.2">
      <c r="C387" s="903"/>
      <c r="D387" s="904"/>
      <c r="E387" s="905"/>
      <c r="F387" s="658"/>
      <c r="G387" s="658"/>
      <c r="H387" s="658"/>
      <c r="I387" s="660"/>
    </row>
    <row r="388" spans="3:9" x14ac:dyDescent="0.2">
      <c r="C388" s="903"/>
      <c r="D388" s="904"/>
      <c r="E388" s="905"/>
      <c r="F388" s="658"/>
      <c r="G388" s="658"/>
      <c r="H388" s="658"/>
      <c r="I388" s="660"/>
    </row>
    <row r="389" spans="3:9" ht="13.5" thickBot="1" x14ac:dyDescent="0.25">
      <c r="C389" s="906"/>
      <c r="D389" s="907"/>
      <c r="E389" s="908"/>
      <c r="F389" s="661"/>
      <c r="G389" s="661"/>
      <c r="H389" s="661"/>
      <c r="I389" s="662"/>
    </row>
    <row r="390" spans="3:9" ht="15.75" thickBot="1" x14ac:dyDescent="0.3">
      <c r="E390" s="655" t="s">
        <v>105</v>
      </c>
      <c r="F390" s="657">
        <f>SUM(F379:F389)</f>
        <v>0</v>
      </c>
      <c r="G390" s="657">
        <f>SUM(G379:G389)</f>
        <v>0</v>
      </c>
      <c r="H390" s="657">
        <f>SUM(H379:H389)</f>
        <v>0</v>
      </c>
      <c r="I390" s="657">
        <f>SUM(I379:I389)</f>
        <v>0</v>
      </c>
    </row>
    <row r="391" spans="3:9" x14ac:dyDescent="0.2"/>
    <row r="392" spans="3:9" x14ac:dyDescent="0.2"/>
  </sheetData>
  <sheetProtection password="83CC" sheet="1" objects="1" scenarios="1"/>
  <mergeCells count="346">
    <mergeCell ref="C373:E373"/>
    <mergeCell ref="C374:E374"/>
    <mergeCell ref="C377:D377"/>
    <mergeCell ref="C378:E378"/>
    <mergeCell ref="C379:E379"/>
    <mergeCell ref="C380:E380"/>
    <mergeCell ref="C387:E387"/>
    <mergeCell ref="C388:E388"/>
    <mergeCell ref="C389:E389"/>
    <mergeCell ref="C381:E381"/>
    <mergeCell ref="C382:E382"/>
    <mergeCell ref="C383:E383"/>
    <mergeCell ref="C384:E384"/>
    <mergeCell ref="C385:E385"/>
    <mergeCell ref="C386:E386"/>
    <mergeCell ref="C364:E364"/>
    <mergeCell ref="C365:E365"/>
    <mergeCell ref="C366:E366"/>
    <mergeCell ref="C367:E367"/>
    <mergeCell ref="C368:E368"/>
    <mergeCell ref="C369:E369"/>
    <mergeCell ref="C370:E370"/>
    <mergeCell ref="C371:E371"/>
    <mergeCell ref="C372:E372"/>
    <mergeCell ref="C353:E353"/>
    <mergeCell ref="C354:E354"/>
    <mergeCell ref="C355:E355"/>
    <mergeCell ref="C356:E356"/>
    <mergeCell ref="C357:E357"/>
    <mergeCell ref="C358:E358"/>
    <mergeCell ref="C359:E359"/>
    <mergeCell ref="C362:D362"/>
    <mergeCell ref="C363:E363"/>
    <mergeCell ref="C342:E342"/>
    <mergeCell ref="C343:E343"/>
    <mergeCell ref="C344:E344"/>
    <mergeCell ref="C347:D347"/>
    <mergeCell ref="C348:E348"/>
    <mergeCell ref="C349:E349"/>
    <mergeCell ref="C350:E350"/>
    <mergeCell ref="C351:E351"/>
    <mergeCell ref="C352:E352"/>
    <mergeCell ref="C333:E333"/>
    <mergeCell ref="C334:E334"/>
    <mergeCell ref="C335:E335"/>
    <mergeCell ref="C336:E336"/>
    <mergeCell ref="C337:E337"/>
    <mergeCell ref="C338:E338"/>
    <mergeCell ref="C339:E339"/>
    <mergeCell ref="C340:E340"/>
    <mergeCell ref="C341:E341"/>
    <mergeCell ref="C322:E322"/>
    <mergeCell ref="C323:E323"/>
    <mergeCell ref="C324:E324"/>
    <mergeCell ref="C325:E325"/>
    <mergeCell ref="C326:E326"/>
    <mergeCell ref="C327:E327"/>
    <mergeCell ref="C328:E328"/>
    <mergeCell ref="C329:E329"/>
    <mergeCell ref="C332:D332"/>
    <mergeCell ref="C311:E311"/>
    <mergeCell ref="C312:E312"/>
    <mergeCell ref="C313:E313"/>
    <mergeCell ref="C314:E314"/>
    <mergeCell ref="C317:D317"/>
    <mergeCell ref="C318:E318"/>
    <mergeCell ref="C319:E319"/>
    <mergeCell ref="C320:E320"/>
    <mergeCell ref="C321:E321"/>
    <mergeCell ref="C302:D302"/>
    <mergeCell ref="C303:E303"/>
    <mergeCell ref="C304:E304"/>
    <mergeCell ref="C305:E305"/>
    <mergeCell ref="C306:E306"/>
    <mergeCell ref="C307:E307"/>
    <mergeCell ref="C308:E308"/>
    <mergeCell ref="C309:E309"/>
    <mergeCell ref="C310:E310"/>
    <mergeCell ref="C291:E291"/>
    <mergeCell ref="C292:E292"/>
    <mergeCell ref="C293:E293"/>
    <mergeCell ref="C294:E294"/>
    <mergeCell ref="C295:E295"/>
    <mergeCell ref="C296:E296"/>
    <mergeCell ref="C297:E297"/>
    <mergeCell ref="C298:E298"/>
    <mergeCell ref="C299:E299"/>
    <mergeCell ref="C280:E280"/>
    <mergeCell ref="C281:E281"/>
    <mergeCell ref="C282:E282"/>
    <mergeCell ref="C283:E283"/>
    <mergeCell ref="C284:E284"/>
    <mergeCell ref="C287:D287"/>
    <mergeCell ref="C288:E288"/>
    <mergeCell ref="C289:E289"/>
    <mergeCell ref="C290:E290"/>
    <mergeCell ref="C269:E269"/>
    <mergeCell ref="C272:D272"/>
    <mergeCell ref="C273:E273"/>
    <mergeCell ref="C274:E274"/>
    <mergeCell ref="C275:E275"/>
    <mergeCell ref="C276:E276"/>
    <mergeCell ref="C277:E277"/>
    <mergeCell ref="C278:E278"/>
    <mergeCell ref="C279:E279"/>
    <mergeCell ref="C260:E260"/>
    <mergeCell ref="C261:E261"/>
    <mergeCell ref="C262:E262"/>
    <mergeCell ref="C263:E263"/>
    <mergeCell ref="C264:E264"/>
    <mergeCell ref="C265:E265"/>
    <mergeCell ref="C266:E266"/>
    <mergeCell ref="C267:E267"/>
    <mergeCell ref="C268:E268"/>
    <mergeCell ref="C249:E249"/>
    <mergeCell ref="C250:E250"/>
    <mergeCell ref="C251:E251"/>
    <mergeCell ref="C252:E252"/>
    <mergeCell ref="C253:E253"/>
    <mergeCell ref="C254:E254"/>
    <mergeCell ref="C257:D257"/>
    <mergeCell ref="C258:E258"/>
    <mergeCell ref="C259:E259"/>
    <mergeCell ref="C238:E238"/>
    <mergeCell ref="C239:E239"/>
    <mergeCell ref="C242:D242"/>
    <mergeCell ref="C243:E243"/>
    <mergeCell ref="C244:E244"/>
    <mergeCell ref="C245:E245"/>
    <mergeCell ref="C246:E246"/>
    <mergeCell ref="C247:E247"/>
    <mergeCell ref="C248:E248"/>
    <mergeCell ref="C229:E229"/>
    <mergeCell ref="C230:E230"/>
    <mergeCell ref="C231:E231"/>
    <mergeCell ref="C232:E232"/>
    <mergeCell ref="C233:E233"/>
    <mergeCell ref="C234:E234"/>
    <mergeCell ref="C235:E235"/>
    <mergeCell ref="C236:E236"/>
    <mergeCell ref="C237:E237"/>
    <mergeCell ref="C218:E218"/>
    <mergeCell ref="C219:E219"/>
    <mergeCell ref="C220:E220"/>
    <mergeCell ref="C221:E221"/>
    <mergeCell ref="C222:E222"/>
    <mergeCell ref="C223:E223"/>
    <mergeCell ref="C224:E224"/>
    <mergeCell ref="C227:D227"/>
    <mergeCell ref="C228:E228"/>
    <mergeCell ref="C207:E207"/>
    <mergeCell ref="C208:E208"/>
    <mergeCell ref="C209:E209"/>
    <mergeCell ref="C212:D212"/>
    <mergeCell ref="C213:E213"/>
    <mergeCell ref="C214:E214"/>
    <mergeCell ref="C215:E215"/>
    <mergeCell ref="C216:E216"/>
    <mergeCell ref="C217:E217"/>
    <mergeCell ref="C198:E198"/>
    <mergeCell ref="C199:E199"/>
    <mergeCell ref="C200:E200"/>
    <mergeCell ref="C201:E201"/>
    <mergeCell ref="C202:E202"/>
    <mergeCell ref="C203:E203"/>
    <mergeCell ref="C204:E204"/>
    <mergeCell ref="C205:E205"/>
    <mergeCell ref="C206:E206"/>
    <mergeCell ref="C187:E187"/>
    <mergeCell ref="C188:E188"/>
    <mergeCell ref="C189:E189"/>
    <mergeCell ref="C190:E190"/>
    <mergeCell ref="C191:E191"/>
    <mergeCell ref="C192:E192"/>
    <mergeCell ref="C193:E193"/>
    <mergeCell ref="C194:E194"/>
    <mergeCell ref="C197:D197"/>
    <mergeCell ref="C176:E176"/>
    <mergeCell ref="C177:E177"/>
    <mergeCell ref="C178:E178"/>
    <mergeCell ref="C179:E179"/>
    <mergeCell ref="C182:D182"/>
    <mergeCell ref="C183:E183"/>
    <mergeCell ref="C184:E184"/>
    <mergeCell ref="C185:E185"/>
    <mergeCell ref="C186:E186"/>
    <mergeCell ref="C167:D167"/>
    <mergeCell ref="C168:E168"/>
    <mergeCell ref="C169:E169"/>
    <mergeCell ref="C170:E170"/>
    <mergeCell ref="C171:E171"/>
    <mergeCell ref="C172:E172"/>
    <mergeCell ref="C173:E173"/>
    <mergeCell ref="C174:E174"/>
    <mergeCell ref="C175:E175"/>
    <mergeCell ref="K9:N10"/>
    <mergeCell ref="K17:O17"/>
    <mergeCell ref="C29:E29"/>
    <mergeCell ref="C18:E18"/>
    <mergeCell ref="C33:E33"/>
    <mergeCell ref="C13:F13"/>
    <mergeCell ref="C14:F14"/>
    <mergeCell ref="K59:N59"/>
    <mergeCell ref="C19:E19"/>
    <mergeCell ref="C20:E20"/>
    <mergeCell ref="C21:E21"/>
    <mergeCell ref="C22:E22"/>
    <mergeCell ref="C36:E36"/>
    <mergeCell ref="C37:E37"/>
    <mergeCell ref="C49:E49"/>
    <mergeCell ref="C50:E50"/>
    <mergeCell ref="C38:E38"/>
    <mergeCell ref="O51:O52"/>
    <mergeCell ref="K53:N54"/>
    <mergeCell ref="O53:O54"/>
    <mergeCell ref="K55:N55"/>
    <mergeCell ref="K57:N57"/>
    <mergeCell ref="K58:N58"/>
    <mergeCell ref="K51:N52"/>
    <mergeCell ref="C23:E23"/>
    <mergeCell ref="C24:E24"/>
    <mergeCell ref="C25:E25"/>
    <mergeCell ref="C26:E26"/>
    <mergeCell ref="C40:E40"/>
    <mergeCell ref="C39:E39"/>
    <mergeCell ref="C27:E27"/>
    <mergeCell ref="C28:E28"/>
    <mergeCell ref="C9:F9"/>
    <mergeCell ref="C10:F10"/>
    <mergeCell ref="C11:F11"/>
    <mergeCell ref="C73:E73"/>
    <mergeCell ref="C71:E71"/>
    <mergeCell ref="C63:E63"/>
    <mergeCell ref="C64:E64"/>
    <mergeCell ref="C65:E65"/>
    <mergeCell ref="C74:E74"/>
    <mergeCell ref="C53:E53"/>
    <mergeCell ref="C54:E54"/>
    <mergeCell ref="C32:D32"/>
    <mergeCell ref="C44:E44"/>
    <mergeCell ref="C34:E34"/>
    <mergeCell ref="C35:E35"/>
    <mergeCell ref="C48:E48"/>
    <mergeCell ref="C51:E51"/>
    <mergeCell ref="C43:E43"/>
    <mergeCell ref="C41:E41"/>
    <mergeCell ref="C52:E52"/>
    <mergeCell ref="C42:E42"/>
    <mergeCell ref="C86:E86"/>
    <mergeCell ref="C47:D47"/>
    <mergeCell ref="C62:D62"/>
    <mergeCell ref="C77:D77"/>
    <mergeCell ref="C80:E80"/>
    <mergeCell ref="C87:E87"/>
    <mergeCell ref="C82:E82"/>
    <mergeCell ref="C83:E83"/>
    <mergeCell ref="C84:E84"/>
    <mergeCell ref="C85:E85"/>
    <mergeCell ref="C78:E78"/>
    <mergeCell ref="C79:E79"/>
    <mergeCell ref="C70:E70"/>
    <mergeCell ref="C55:E55"/>
    <mergeCell ref="C56:E56"/>
    <mergeCell ref="C57:E57"/>
    <mergeCell ref="C66:E66"/>
    <mergeCell ref="C67:E67"/>
    <mergeCell ref="C68:E68"/>
    <mergeCell ref="C69:E69"/>
    <mergeCell ref="C81:E81"/>
    <mergeCell ref="C58:E58"/>
    <mergeCell ref="C59:E59"/>
    <mergeCell ref="C72:E72"/>
    <mergeCell ref="C96:E96"/>
    <mergeCell ref="C97:E97"/>
    <mergeCell ref="C98:E98"/>
    <mergeCell ref="C99:E99"/>
    <mergeCell ref="C100:E100"/>
    <mergeCell ref="C101:E101"/>
    <mergeCell ref="C88:E88"/>
    <mergeCell ref="C89:E89"/>
    <mergeCell ref="C93:E93"/>
    <mergeCell ref="C94:E94"/>
    <mergeCell ref="C95:E95"/>
    <mergeCell ref="C92:D92"/>
    <mergeCell ref="C111:E111"/>
    <mergeCell ref="C112:E112"/>
    <mergeCell ref="C113:E113"/>
    <mergeCell ref="C114:E114"/>
    <mergeCell ref="C115:E115"/>
    <mergeCell ref="C116:E116"/>
    <mergeCell ref="C102:E102"/>
    <mergeCell ref="C103:E103"/>
    <mergeCell ref="C104:E104"/>
    <mergeCell ref="C108:E108"/>
    <mergeCell ref="C109:E109"/>
    <mergeCell ref="C110:E110"/>
    <mergeCell ref="C107:D107"/>
    <mergeCell ref="C126:E126"/>
    <mergeCell ref="C127:E127"/>
    <mergeCell ref="C128:E128"/>
    <mergeCell ref="C129:E129"/>
    <mergeCell ref="C130:E130"/>
    <mergeCell ref="C131:E131"/>
    <mergeCell ref="C117:E117"/>
    <mergeCell ref="C118:E118"/>
    <mergeCell ref="C119:E119"/>
    <mergeCell ref="C123:E123"/>
    <mergeCell ref="C124:E124"/>
    <mergeCell ref="C125:E125"/>
    <mergeCell ref="C122:D122"/>
    <mergeCell ref="C142:E142"/>
    <mergeCell ref="C143:E143"/>
    <mergeCell ref="C144:E144"/>
    <mergeCell ref="C145:E145"/>
    <mergeCell ref="C146:E146"/>
    <mergeCell ref="C132:E132"/>
    <mergeCell ref="C133:E133"/>
    <mergeCell ref="C134:E134"/>
    <mergeCell ref="C138:E138"/>
    <mergeCell ref="C139:E139"/>
    <mergeCell ref="C140:E140"/>
    <mergeCell ref="C137:D137"/>
    <mergeCell ref="C162:E162"/>
    <mergeCell ref="C163:E163"/>
    <mergeCell ref="C164:E164"/>
    <mergeCell ref="B2:J3"/>
    <mergeCell ref="C6:F6"/>
    <mergeCell ref="C5:G5"/>
    <mergeCell ref="C7:F7"/>
    <mergeCell ref="C12:F12"/>
    <mergeCell ref="C17:D17"/>
    <mergeCell ref="C8:F8"/>
    <mergeCell ref="C156:E156"/>
    <mergeCell ref="C157:E157"/>
    <mergeCell ref="C158:E158"/>
    <mergeCell ref="C159:E159"/>
    <mergeCell ref="C160:E160"/>
    <mergeCell ref="C161:E161"/>
    <mergeCell ref="C147:E147"/>
    <mergeCell ref="C148:E148"/>
    <mergeCell ref="C149:E149"/>
    <mergeCell ref="C153:E153"/>
    <mergeCell ref="C154:E154"/>
    <mergeCell ref="C155:E155"/>
    <mergeCell ref="C152:D152"/>
    <mergeCell ref="C141:E141"/>
  </mergeCells>
  <conditionalFormatting sqref="C32:I45">
    <cfRule type="expression" dxfId="34" priority="48" stopIfTrue="1">
      <formula>$G$6&lt;2</formula>
    </cfRule>
  </conditionalFormatting>
  <conditionalFormatting sqref="C47:I60">
    <cfRule type="expression" dxfId="33" priority="47" stopIfTrue="1">
      <formula>$G$6&lt;3</formula>
    </cfRule>
  </conditionalFormatting>
  <conditionalFormatting sqref="C62:I75">
    <cfRule type="expression" dxfId="32" priority="46" stopIfTrue="1">
      <formula>$G$6&lt;4</formula>
    </cfRule>
  </conditionalFormatting>
  <conditionalFormatting sqref="C77:I90">
    <cfRule type="expression" dxfId="31" priority="45" stopIfTrue="1">
      <formula>$G$6&lt;5</formula>
    </cfRule>
  </conditionalFormatting>
  <conditionalFormatting sqref="C92:I105">
    <cfRule type="expression" dxfId="30" priority="44" stopIfTrue="1">
      <formula>$G$6&lt;6</formula>
    </cfRule>
  </conditionalFormatting>
  <conditionalFormatting sqref="C107:I120">
    <cfRule type="expression" dxfId="29" priority="43" stopIfTrue="1">
      <formula>$G$6&lt;7</formula>
    </cfRule>
  </conditionalFormatting>
  <conditionalFormatting sqref="C122:I135">
    <cfRule type="expression" dxfId="28" priority="42" stopIfTrue="1">
      <formula>$G$6&lt;8</formula>
    </cfRule>
  </conditionalFormatting>
  <conditionalFormatting sqref="C137:I150">
    <cfRule type="expression" dxfId="27" priority="41" stopIfTrue="1">
      <formula>$G$6&lt;9</formula>
    </cfRule>
  </conditionalFormatting>
  <conditionalFormatting sqref="C152:I165">
    <cfRule type="expression" dxfId="26" priority="40" stopIfTrue="1">
      <formula>$G$6&lt;10</formula>
    </cfRule>
  </conditionalFormatting>
  <conditionalFormatting sqref="C167:I180">
    <cfRule type="expression" dxfId="25" priority="15" stopIfTrue="1">
      <formula>$G$6&lt;11</formula>
    </cfRule>
  </conditionalFormatting>
  <conditionalFormatting sqref="C182:I195">
    <cfRule type="expression" dxfId="24" priority="14" stopIfTrue="1">
      <formula>$G$6&lt;12</formula>
    </cfRule>
  </conditionalFormatting>
  <conditionalFormatting sqref="C197:I210">
    <cfRule type="expression" dxfId="23" priority="13" stopIfTrue="1">
      <formula>$G$6&lt;13</formula>
    </cfRule>
  </conditionalFormatting>
  <conditionalFormatting sqref="C212:I225">
    <cfRule type="expression" dxfId="22" priority="12" stopIfTrue="1">
      <formula>$G$6&lt;14</formula>
    </cfRule>
  </conditionalFormatting>
  <conditionalFormatting sqref="C227:I240">
    <cfRule type="expression" dxfId="21" priority="11" stopIfTrue="1">
      <formula>$G$6&lt;15</formula>
    </cfRule>
  </conditionalFormatting>
  <conditionalFormatting sqref="C242:I255">
    <cfRule type="expression" dxfId="20" priority="10" stopIfTrue="1">
      <formula>$G$6&lt;16</formula>
    </cfRule>
  </conditionalFormatting>
  <conditionalFormatting sqref="C257:I270">
    <cfRule type="expression" dxfId="19" priority="9" stopIfTrue="1">
      <formula>$G$6&lt;17</formula>
    </cfRule>
  </conditionalFormatting>
  <conditionalFormatting sqref="C272:I285">
    <cfRule type="expression" dxfId="18" priority="8" stopIfTrue="1">
      <formula>$G$6&lt;18</formula>
    </cfRule>
  </conditionalFormatting>
  <conditionalFormatting sqref="C287:I300">
    <cfRule type="expression" dxfId="17" priority="7" stopIfTrue="1">
      <formula>$G$6&lt;19</formula>
    </cfRule>
  </conditionalFormatting>
  <conditionalFormatting sqref="C302:I315">
    <cfRule type="expression" dxfId="16" priority="6" stopIfTrue="1">
      <formula>$G$6&lt;20</formula>
    </cfRule>
  </conditionalFormatting>
  <conditionalFormatting sqref="C317:I330">
    <cfRule type="expression" dxfId="15" priority="5" stopIfTrue="1">
      <formula>$G$6&lt;21</formula>
    </cfRule>
  </conditionalFormatting>
  <conditionalFormatting sqref="C332:I345">
    <cfRule type="expression" dxfId="14" priority="4" stopIfTrue="1">
      <formula>$G$6&lt;22</formula>
    </cfRule>
  </conditionalFormatting>
  <conditionalFormatting sqref="C347:I360">
    <cfRule type="expression" dxfId="13" priority="3" stopIfTrue="1">
      <formula>$G$6&lt;23</formula>
    </cfRule>
  </conditionalFormatting>
  <conditionalFormatting sqref="C362:I375">
    <cfRule type="expression" dxfId="12" priority="2" stopIfTrue="1">
      <formula>$G$6&lt;24</formula>
    </cfRule>
  </conditionalFormatting>
  <conditionalFormatting sqref="C377:I390">
    <cfRule type="expression" dxfId="11" priority="1" stopIfTrue="1">
      <formula>$G$6&lt;25</formula>
    </cfRule>
  </conditionalFormatting>
  <dataValidations count="2">
    <dataValidation type="whole" errorStyle="warning" allowBlank="1" showInputMessage="1" showErrorMessage="1" errorTitle="ATTENZIONE" error="Inserire un numero compreso tra 1 e 25!" sqref="G6" xr:uid="{00000000-0002-0000-0400-000000000000}">
      <formula1>1</formula1>
      <formula2>25</formula2>
    </dataValidation>
    <dataValidation errorStyle="warning" allowBlank="1" showInputMessage="1" showErrorMessage="1" errorTitle="ATTENZIONE" error="Inserire un numero compreso tra 1 e 10!" sqref="G7:G14" xr:uid="{00000000-0002-0000-0400-000001000000}"/>
  </dataValidations>
  <hyperlinks>
    <hyperlink ref="K9:K10" location="'Procedura guidata'!A1" display="Torna alla procedura guidata!" xr:uid="{00000000-0004-0000-0400-000000000000}"/>
  </hyperlinks>
  <pageMargins left="0.11811023622047245" right="0.15748031496062992" top="0.15748031496062992" bottom="0.15748031496062992"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66"/>
  </sheetPr>
  <dimension ref="A1:IS39"/>
  <sheetViews>
    <sheetView showGridLines="0" showZeros="0" zoomScale="95" zoomScaleNormal="95" workbookViewId="0"/>
  </sheetViews>
  <sheetFormatPr defaultColWidth="0" defaultRowHeight="0" customHeight="1" zeroHeight="1" x14ac:dyDescent="0.2"/>
  <cols>
    <col min="1" max="2" width="5.7109375" style="250" customWidth="1"/>
    <col min="3" max="3" width="5.5703125" style="250" customWidth="1"/>
    <col min="4" max="7" width="10.7109375" style="250" customWidth="1"/>
    <col min="8" max="8" width="1.42578125" style="250" hidden="1" customWidth="1"/>
    <col min="9" max="9" width="5.42578125" style="250" hidden="1" customWidth="1"/>
    <col min="10" max="10" width="12.42578125" style="250" customWidth="1"/>
    <col min="11" max="11" width="6.7109375" style="250" customWidth="1"/>
    <col min="12" max="12" width="10.140625" style="250" customWidth="1"/>
    <col min="13" max="13" width="7.85546875" style="250" customWidth="1"/>
    <col min="14" max="14" width="6.7109375" style="250" customWidth="1"/>
    <col min="15" max="15" width="12.7109375" style="250" customWidth="1"/>
    <col min="16" max="16" width="18.7109375" style="250" customWidth="1"/>
    <col min="17" max="17" width="3.28515625" style="250" customWidth="1"/>
    <col min="18" max="18" width="13.42578125" style="250" hidden="1" customWidth="1"/>
    <col min="19" max="19" width="4.42578125" style="250" hidden="1" customWidth="1"/>
    <col min="20" max="20" width="3.7109375" style="250" hidden="1" customWidth="1"/>
    <col min="21" max="21" width="8.42578125" style="250" hidden="1" customWidth="1"/>
    <col min="22" max="22" width="6.7109375" style="250" hidden="1" customWidth="1"/>
    <col min="23" max="23" width="9.42578125" style="250" hidden="1" customWidth="1"/>
    <col min="24" max="24" width="4.7109375" style="250" hidden="1" customWidth="1"/>
    <col min="25" max="25" width="3.5703125" style="250" hidden="1" customWidth="1"/>
    <col min="26" max="26" width="12.42578125" style="250" hidden="1" customWidth="1"/>
    <col min="27" max="27" width="14.28515625" style="250" hidden="1" customWidth="1"/>
    <col min="28" max="253" width="9.140625" style="250" hidden="1" customWidth="1"/>
    <col min="254" max="255" width="4.42578125" style="250" hidden="1" customWidth="1"/>
    <col min="256" max="16384" width="4.42578125" style="250" hidden="1"/>
  </cols>
  <sheetData>
    <row r="1" spans="1:17" ht="10.5" customHeight="1" x14ac:dyDescent="0.2"/>
    <row r="2" spans="1:17" ht="10.5" customHeight="1" x14ac:dyDescent="0.2"/>
    <row r="3" spans="1:17" ht="12.75" customHeight="1" x14ac:dyDescent="0.2">
      <c r="A3" s="305"/>
      <c r="K3" s="531" t="str">
        <f>IF(DetClasse_Abitanti="Comune con meno di 50.000 abitanti","Parametri_Classi","Parametri_ClassiSopr50000Ab")</f>
        <v>Parametri_Classi</v>
      </c>
      <c r="L3" s="531" t="str">
        <f>IF(DetClasse_Abitanti="Comune con meno di 50.000 abitanti","Parametri_MinClassi","Parametri_MinClassiSopr50000Ab")</f>
        <v>Parametri_MinClassi</v>
      </c>
      <c r="M3" s="251"/>
      <c r="N3" s="251"/>
      <c r="O3" s="251"/>
      <c r="P3" s="248"/>
    </row>
    <row r="4" spans="1:17" ht="12.75" customHeight="1" thickBot="1" x14ac:dyDescent="0.25">
      <c r="B4" s="289" t="s">
        <v>21</v>
      </c>
      <c r="C4" s="288"/>
      <c r="D4" s="288"/>
      <c r="E4" s="288"/>
      <c r="H4" s="290" t="s">
        <v>22</v>
      </c>
      <c r="N4"/>
      <c r="O4"/>
    </row>
    <row r="5" spans="1:17" ht="12.75" customHeight="1" x14ac:dyDescent="0.25">
      <c r="B5" s="941" t="s">
        <v>23</v>
      </c>
      <c r="C5" s="942"/>
      <c r="D5" s="293" t="s">
        <v>112</v>
      </c>
      <c r="E5" s="293" t="s">
        <v>111</v>
      </c>
      <c r="F5" s="293" t="s">
        <v>112</v>
      </c>
      <c r="G5" s="293" t="s">
        <v>111</v>
      </c>
      <c r="H5" s="294" t="s">
        <v>24</v>
      </c>
      <c r="I5" s="295"/>
      <c r="J5" s="292" t="s">
        <v>25</v>
      </c>
      <c r="K5" s="293" t="s">
        <v>26</v>
      </c>
      <c r="L5" s="296" t="s">
        <v>27</v>
      </c>
      <c r="N5"/>
      <c r="O5"/>
      <c r="P5" s="12"/>
    </row>
    <row r="6" spans="1:17" ht="12.75" customHeight="1" x14ac:dyDescent="0.25">
      <c r="B6" s="936" t="s">
        <v>212</v>
      </c>
      <c r="C6" s="937"/>
      <c r="D6" s="668">
        <f>COUNTIF(dimensione_planimetrica_1,"&gt;0")</f>
        <v>0</v>
      </c>
      <c r="E6" s="670">
        <f>dimensione_planimetrica_1_totale</f>
        <v>0</v>
      </c>
      <c r="F6" s="481"/>
      <c r="G6" s="656"/>
      <c r="H6" s="298"/>
      <c r="I6" s="299"/>
      <c r="J6" s="300">
        <f>IF((E6+G6)&gt;0,(E6+G6)/(E11+G11),0)</f>
        <v>0</v>
      </c>
      <c r="K6" s="301" t="s">
        <v>28</v>
      </c>
      <c r="L6" s="302">
        <f>J6*K6</f>
        <v>0</v>
      </c>
      <c r="N6"/>
      <c r="O6"/>
      <c r="P6" s="13"/>
    </row>
    <row r="7" spans="1:17" ht="12.75" customHeight="1" x14ac:dyDescent="0.2">
      <c r="B7" s="936" t="s">
        <v>213</v>
      </c>
      <c r="C7" s="937"/>
      <c r="D7" s="668">
        <f>COUNTIF(dimensione_planimetrica_2,"&gt;0")</f>
        <v>0</v>
      </c>
      <c r="E7" s="670">
        <f>dimensione_planimetrica_2_totale</f>
        <v>0</v>
      </c>
      <c r="F7" s="481"/>
      <c r="G7" s="656"/>
      <c r="H7" s="298"/>
      <c r="I7" s="299"/>
      <c r="J7" s="300">
        <f>IF((E7+G7)&gt;0,(E7+G7)/(E11+G11),0)</f>
        <v>0</v>
      </c>
      <c r="K7" s="303">
        <v>5</v>
      </c>
      <c r="L7" s="302">
        <f>J7*K7</f>
        <v>0</v>
      </c>
      <c r="N7"/>
      <c r="O7"/>
      <c r="P7"/>
    </row>
    <row r="8" spans="1:17" ht="12.75" customHeight="1" x14ac:dyDescent="0.2">
      <c r="B8" s="936" t="s">
        <v>29</v>
      </c>
      <c r="C8" s="937"/>
      <c r="D8" s="668">
        <f>COUNTIF(dimensione_planimetrica_3,"&gt;0")</f>
        <v>0</v>
      </c>
      <c r="E8" s="670">
        <f>dimensione_planimetrica_3_totale</f>
        <v>0</v>
      </c>
      <c r="F8" s="481"/>
      <c r="G8" s="656"/>
      <c r="H8" s="298"/>
      <c r="I8" s="299"/>
      <c r="J8" s="300">
        <f>IF((E8+G8)&gt;0,(E8+G8)/(E11+G11),0)</f>
        <v>0</v>
      </c>
      <c r="K8" s="303">
        <v>15</v>
      </c>
      <c r="L8" s="302">
        <f>J8*K8</f>
        <v>0</v>
      </c>
      <c r="N8"/>
      <c r="O8"/>
      <c r="P8" s="923" t="s">
        <v>269</v>
      </c>
    </row>
    <row r="9" spans="1:17" ht="12.75" customHeight="1" x14ac:dyDescent="0.2">
      <c r="B9" s="936" t="s">
        <v>30</v>
      </c>
      <c r="C9" s="937"/>
      <c r="D9" s="668">
        <f>COUNTIF(dimensione_planimetrica_4,"&gt;0")</f>
        <v>0</v>
      </c>
      <c r="E9" s="670">
        <f>dimensione_planimetrica_4_totale</f>
        <v>0</v>
      </c>
      <c r="F9" s="481"/>
      <c r="G9" s="656"/>
      <c r="H9" s="298"/>
      <c r="I9" s="299"/>
      <c r="J9" s="300">
        <f>IF((E9+G9)&gt;0,(E9+G9)/(E11+G11),0)</f>
        <v>0</v>
      </c>
      <c r="K9" s="303">
        <v>30</v>
      </c>
      <c r="L9" s="302">
        <f>J9*K9</f>
        <v>0</v>
      </c>
      <c r="N9"/>
      <c r="O9"/>
      <c r="P9" s="923"/>
    </row>
    <row r="10" spans="1:17" ht="12.75" customHeight="1" thickBot="1" x14ac:dyDescent="0.25">
      <c r="B10" s="946" t="s">
        <v>31</v>
      </c>
      <c r="C10" s="947"/>
      <c r="D10" s="669">
        <f>COUNTIF(dimensione_planimetrica_5,"&gt;0")</f>
        <v>0</v>
      </c>
      <c r="E10" s="671">
        <f>dimensione_planimetrica_5_totale</f>
        <v>0</v>
      </c>
      <c r="F10" s="482"/>
      <c r="G10" s="656"/>
      <c r="H10" s="307"/>
      <c r="I10" s="308"/>
      <c r="J10" s="309">
        <f>IF((E10+G10)&gt;0,(E10+G10)/(E11+G11),0)</f>
        <v>0</v>
      </c>
      <c r="K10" s="310">
        <v>50</v>
      </c>
      <c r="L10" s="311">
        <f>J10*K10</f>
        <v>0</v>
      </c>
      <c r="N10"/>
      <c r="O10"/>
      <c r="P10" s="14"/>
    </row>
    <row r="11" spans="1:17" ht="12.75" customHeight="1" thickBot="1" x14ac:dyDescent="0.25">
      <c r="D11" s="312" t="s">
        <v>32</v>
      </c>
      <c r="E11" s="657">
        <f>SUM(E6:E10)</f>
        <v>0</v>
      </c>
      <c r="F11" s="312" t="s">
        <v>32</v>
      </c>
      <c r="G11" s="657">
        <f>SUM(G6:G10)</f>
        <v>0</v>
      </c>
      <c r="H11" s="314"/>
      <c r="I11" s="315"/>
      <c r="J11" s="250" t="s">
        <v>33</v>
      </c>
      <c r="L11" s="316" t="s">
        <v>34</v>
      </c>
      <c r="M11" s="317" t="str">
        <f>IF(SUM(L6:L10)&gt;0,SUM(L6:L10),"0")</f>
        <v>0</v>
      </c>
      <c r="N11"/>
      <c r="O11" s="286"/>
    </row>
    <row r="12" spans="1:17" ht="12.75" customHeight="1" x14ac:dyDescent="0.2">
      <c r="G12" s="318"/>
      <c r="H12" s="319"/>
      <c r="I12" s="319"/>
      <c r="N12"/>
      <c r="O12" s="286"/>
      <c r="Q12" s="695"/>
    </row>
    <row r="13" spans="1:17" ht="12.75" customHeight="1" thickBot="1" x14ac:dyDescent="0.25">
      <c r="B13" s="289" t="s">
        <v>145</v>
      </c>
      <c r="C13" s="288"/>
      <c r="D13" s="288"/>
      <c r="E13" s="288"/>
      <c r="G13" s="318"/>
      <c r="H13" s="320"/>
      <c r="I13" s="319"/>
      <c r="J13" s="288"/>
      <c r="M13" s="297"/>
      <c r="N13"/>
      <c r="O13" s="286"/>
      <c r="Q13" s="695"/>
    </row>
    <row r="14" spans="1:17" ht="12.75" customHeight="1" x14ac:dyDescent="0.2">
      <c r="B14" s="920" t="s">
        <v>216</v>
      </c>
      <c r="C14" s="921"/>
      <c r="D14" s="921"/>
      <c r="E14" s="921"/>
      <c r="F14" s="322" t="s">
        <v>214</v>
      </c>
      <c r="G14" s="322" t="s">
        <v>214</v>
      </c>
      <c r="H14" s="323"/>
      <c r="I14" s="324"/>
      <c r="J14" s="293" t="s">
        <v>38</v>
      </c>
      <c r="K14" s="293" t="s">
        <v>18</v>
      </c>
      <c r="L14" s="296" t="s">
        <v>27</v>
      </c>
      <c r="M14" s="251"/>
      <c r="N14"/>
      <c r="O14" s="286"/>
      <c r="Q14" s="695"/>
    </row>
    <row r="15" spans="1:17" ht="12.75" customHeight="1" x14ac:dyDescent="0.2">
      <c r="B15" s="952" t="s">
        <v>210</v>
      </c>
      <c r="C15" s="953"/>
      <c r="D15" s="953"/>
      <c r="E15" s="953"/>
      <c r="F15" s="948">
        <f>dimensione_planimetrica_snr1_totale</f>
        <v>0</v>
      </c>
      <c r="G15" s="944"/>
      <c r="H15" s="325">
        <v>0</v>
      </c>
      <c r="I15" s="326"/>
      <c r="J15" s="327" t="s">
        <v>113</v>
      </c>
      <c r="K15" s="328" t="str">
        <f>IF($J$20&lt;=50,"X",)</f>
        <v>X</v>
      </c>
      <c r="L15" s="329" t="s">
        <v>158</v>
      </c>
      <c r="M15" s="251"/>
      <c r="N15"/>
      <c r="O15" s="286"/>
      <c r="Q15" s="695"/>
    </row>
    <row r="16" spans="1:17" ht="12.75" customHeight="1" x14ac:dyDescent="0.2">
      <c r="B16" s="954"/>
      <c r="C16" s="955"/>
      <c r="D16" s="955"/>
      <c r="E16" s="955"/>
      <c r="F16" s="949"/>
      <c r="G16" s="945"/>
      <c r="H16" s="333"/>
      <c r="I16" s="326"/>
      <c r="J16" s="327" t="s">
        <v>40</v>
      </c>
      <c r="K16" s="328">
        <f>IF(AND($J$20&lt;=75,$J$20&gt;50.001),"X",)</f>
        <v>0</v>
      </c>
      <c r="L16" s="334">
        <v>10</v>
      </c>
      <c r="M16" s="251"/>
      <c r="N16"/>
      <c r="O16" s="286"/>
      <c r="P16" s="336"/>
      <c r="Q16" s="695"/>
    </row>
    <row r="17" spans="2:17" ht="12.75" customHeight="1" x14ac:dyDescent="0.2">
      <c r="B17" s="936" t="s">
        <v>42</v>
      </c>
      <c r="C17" s="938"/>
      <c r="D17" s="938"/>
      <c r="E17" s="938"/>
      <c r="F17" s="680"/>
      <c r="G17" s="337">
        <v>0</v>
      </c>
      <c r="H17" s="333">
        <v>0</v>
      </c>
      <c r="I17" s="326"/>
      <c r="J17" s="327" t="s">
        <v>43</v>
      </c>
      <c r="K17" s="328">
        <f>IF(AND($J$20&lt;=100,$J$20&gt;75.1),"X",)</f>
        <v>0</v>
      </c>
      <c r="L17" s="334">
        <v>20</v>
      </c>
      <c r="M17" s="251"/>
      <c r="N17"/>
      <c r="O17" s="286"/>
      <c r="P17" s="336"/>
      <c r="Q17" s="695"/>
    </row>
    <row r="18" spans="2:17" ht="12.75" customHeight="1" thickBot="1" x14ac:dyDescent="0.25">
      <c r="B18" s="936" t="s">
        <v>45</v>
      </c>
      <c r="C18" s="938"/>
      <c r="D18" s="938"/>
      <c r="E18" s="938"/>
      <c r="F18" s="681">
        <f>dimensione_planimetrica_snr2_totale</f>
        <v>0</v>
      </c>
      <c r="G18" s="658"/>
      <c r="H18" s="333">
        <v>0</v>
      </c>
      <c r="I18" s="326"/>
      <c r="J18" s="341" t="s">
        <v>46</v>
      </c>
      <c r="K18" s="342">
        <f>IF($J$20&gt;100.001,"X",)</f>
        <v>0</v>
      </c>
      <c r="L18" s="343">
        <v>30</v>
      </c>
      <c r="M18" s="248"/>
      <c r="N18"/>
      <c r="O18" s="286"/>
      <c r="P18" s="336"/>
      <c r="Q18" s="695"/>
    </row>
    <row r="19" spans="2:17" ht="12.75" customHeight="1" thickBot="1" x14ac:dyDescent="0.25">
      <c r="B19" s="946" t="s">
        <v>48</v>
      </c>
      <c r="C19" s="950"/>
      <c r="D19" s="950"/>
      <c r="E19" s="950"/>
      <c r="F19" s="682">
        <f>dimensione_planimetrica_snr3_totale</f>
        <v>0</v>
      </c>
      <c r="G19" s="659"/>
      <c r="H19" s="344">
        <v>0</v>
      </c>
      <c r="I19" s="345"/>
      <c r="J19" s="248" t="s">
        <v>49</v>
      </c>
      <c r="K19" s="248"/>
      <c r="L19" s="273" t="s">
        <v>50</v>
      </c>
      <c r="M19" s="346" t="str">
        <f>VLOOKUP("X",$K$15:$L$18,2,FALSE)</f>
        <v>-</v>
      </c>
      <c r="N19"/>
      <c r="O19" s="286"/>
      <c r="P19" s="336"/>
      <c r="Q19" s="695"/>
    </row>
    <row r="20" spans="2:17" ht="12.75" customHeight="1" thickBot="1" x14ac:dyDescent="0.25">
      <c r="B20" s="248"/>
      <c r="C20" s="248"/>
      <c r="D20" s="248"/>
      <c r="E20" s="276" t="s">
        <v>52</v>
      </c>
      <c r="F20" s="657">
        <f>SUM(F15,F18,F19)</f>
        <v>0</v>
      </c>
      <c r="G20" s="657">
        <f>SUM(G15:G19)</f>
        <v>0</v>
      </c>
      <c r="H20" s="347">
        <f>SUM(H15:H19)</f>
        <v>0</v>
      </c>
      <c r="I20" s="348"/>
      <c r="J20" s="349">
        <f>IF(ISERROR((F20+G20)/(E11+G11)*100),,((F20+G20)/(E11+G11)*100))</f>
        <v>0</v>
      </c>
      <c r="K20" s="248" t="s">
        <v>20</v>
      </c>
      <c r="L20" s="248"/>
      <c r="M20" s="248"/>
      <c r="N20"/>
      <c r="O20" s="286"/>
      <c r="P20" s="306"/>
      <c r="Q20" s="695"/>
    </row>
    <row r="21" spans="2:17" ht="12.75" customHeight="1" x14ac:dyDescent="0.2">
      <c r="P21" s="306"/>
    </row>
    <row r="22" spans="2:17" ht="12.75" customHeight="1" thickBot="1" x14ac:dyDescent="0.25">
      <c r="C22" s="247"/>
      <c r="D22" s="247"/>
      <c r="E22" s="247"/>
      <c r="F22" s="247"/>
      <c r="G22" s="247"/>
      <c r="H22" s="353"/>
      <c r="I22" s="248"/>
      <c r="J22" s="248"/>
      <c r="K22" s="248"/>
      <c r="L22" s="248"/>
      <c r="M22" s="248"/>
      <c r="N22" s="248"/>
      <c r="O22" s="248"/>
      <c r="P22" s="306"/>
    </row>
    <row r="23" spans="2:17" ht="12.75" customHeight="1" x14ac:dyDescent="0.2">
      <c r="B23" s="354" t="s">
        <v>217</v>
      </c>
      <c r="C23" s="251"/>
      <c r="D23" s="251"/>
      <c r="E23" s="251"/>
      <c r="F23" s="251"/>
      <c r="G23" s="248"/>
      <c r="H23" s="269"/>
      <c r="I23" s="249"/>
      <c r="J23" s="291" t="s">
        <v>56</v>
      </c>
      <c r="K23" s="293" t="s">
        <v>18</v>
      </c>
      <c r="L23" s="296" t="s">
        <v>27</v>
      </c>
      <c r="M23" s="251"/>
      <c r="N23" s="248"/>
    </row>
    <row r="24" spans="2:17" ht="12.75" customHeight="1" thickBot="1" x14ac:dyDescent="0.25">
      <c r="B24" s="251"/>
      <c r="C24" s="951"/>
      <c r="D24" s="951"/>
      <c r="E24" s="951"/>
      <c r="F24" s="951"/>
      <c r="G24" s="951"/>
      <c r="H24" s="355"/>
      <c r="I24" s="356"/>
      <c r="J24" s="357" t="s">
        <v>57</v>
      </c>
      <c r="K24" s="358" t="str">
        <f>IF(COUNTIF($B$25:$B$29,"x")=0,"X",)</f>
        <v>X</v>
      </c>
      <c r="L24" s="359" t="s">
        <v>158</v>
      </c>
      <c r="M24" s="251"/>
      <c r="N24" s="248"/>
      <c r="O24" s="248"/>
    </row>
    <row r="25" spans="2:17" ht="12.75" customHeight="1" x14ac:dyDescent="0.2">
      <c r="B25" s="487" t="s">
        <v>59</v>
      </c>
      <c r="C25" s="943" t="s">
        <v>60</v>
      </c>
      <c r="D25" s="943"/>
      <c r="E25" s="943"/>
      <c r="F25" s="943"/>
      <c r="G25" s="943"/>
      <c r="H25" s="360"/>
      <c r="I25" s="248"/>
      <c r="J25" s="327">
        <v>1</v>
      </c>
      <c r="K25" s="358">
        <f>IF(COUNTIF($B$25:$B$29,"x")=1,"X",)</f>
        <v>0</v>
      </c>
      <c r="L25" s="334">
        <v>10</v>
      </c>
      <c r="M25" s="251"/>
      <c r="N25" s="248"/>
      <c r="O25" s="248"/>
    </row>
    <row r="26" spans="2:17" ht="12.75" customHeight="1" x14ac:dyDescent="0.2">
      <c r="B26" s="488" t="s">
        <v>59</v>
      </c>
      <c r="C26" s="938" t="s">
        <v>61</v>
      </c>
      <c r="D26" s="938"/>
      <c r="E26" s="938"/>
      <c r="F26" s="938"/>
      <c r="G26" s="938"/>
      <c r="H26" s="361"/>
      <c r="I26" s="248"/>
      <c r="J26" s="327">
        <v>2</v>
      </c>
      <c r="K26" s="358">
        <f>IF(COUNTIF($B$25:$B$29,"x")=2,"X",)</f>
        <v>0</v>
      </c>
      <c r="L26" s="334">
        <v>20</v>
      </c>
      <c r="M26" s="251"/>
      <c r="N26" s="248"/>
      <c r="O26" s="248"/>
    </row>
    <row r="27" spans="2:17" ht="12.75" customHeight="1" x14ac:dyDescent="0.2">
      <c r="B27" s="488" t="s">
        <v>59</v>
      </c>
      <c r="C27" s="938" t="s">
        <v>389</v>
      </c>
      <c r="D27" s="938"/>
      <c r="E27" s="938"/>
      <c r="F27" s="938"/>
      <c r="G27" s="938"/>
      <c r="H27" s="362"/>
      <c r="I27" s="248"/>
      <c r="J27" s="327">
        <v>3</v>
      </c>
      <c r="K27" s="358">
        <f>IF(COUNTIF($B$25:$B$29,"x")=3,"X",)</f>
        <v>0</v>
      </c>
      <c r="L27" s="334">
        <v>30</v>
      </c>
      <c r="M27" s="248"/>
      <c r="N27" s="248"/>
      <c r="O27" s="248"/>
    </row>
    <row r="28" spans="2:17" ht="12.75" customHeight="1" x14ac:dyDescent="0.2">
      <c r="B28" s="488" t="s">
        <v>59</v>
      </c>
      <c r="C28" s="938" t="s">
        <v>306</v>
      </c>
      <c r="D28" s="938"/>
      <c r="E28" s="938"/>
      <c r="F28" s="938"/>
      <c r="G28" s="938"/>
      <c r="H28" s="361"/>
      <c r="I28" s="248"/>
      <c r="J28" s="327">
        <v>4</v>
      </c>
      <c r="K28" s="358">
        <f>IF(COUNTIF($B$25:$B$29,"x")=4,"X",)</f>
        <v>0</v>
      </c>
      <c r="L28" s="334">
        <v>40</v>
      </c>
      <c r="M28" s="248"/>
      <c r="N28" s="248"/>
      <c r="O28" s="248"/>
    </row>
    <row r="29" spans="2:17" ht="12.75" customHeight="1" thickBot="1" x14ac:dyDescent="0.25">
      <c r="B29" s="489" t="s">
        <v>59</v>
      </c>
      <c r="C29" s="950" t="s">
        <v>63</v>
      </c>
      <c r="D29" s="950"/>
      <c r="E29" s="950"/>
      <c r="F29" s="950"/>
      <c r="G29" s="947"/>
      <c r="H29" s="363"/>
      <c r="I29" s="248"/>
      <c r="J29" s="341">
        <v>5</v>
      </c>
      <c r="K29" s="364">
        <f>IF(COUNTIF($B$25:$B$29,"x")=5,"X",)</f>
        <v>0</v>
      </c>
      <c r="L29" s="343">
        <v>50</v>
      </c>
      <c r="M29" s="248"/>
      <c r="N29" s="248"/>
      <c r="O29" s="248"/>
    </row>
    <row r="30" spans="2:17" ht="12.75" customHeight="1" thickBot="1" x14ac:dyDescent="0.25">
      <c r="B30" s="247"/>
      <c r="C30" s="247"/>
      <c r="D30" s="247"/>
      <c r="E30" s="247"/>
      <c r="F30" s="247"/>
      <c r="G30" s="247"/>
      <c r="H30" s="365"/>
      <c r="I30" s="267"/>
      <c r="J30" s="248"/>
      <c r="K30" s="248"/>
      <c r="L30" s="273" t="s">
        <v>64</v>
      </c>
      <c r="M30" s="366" t="str">
        <f>VLOOKUP("X",K24:L29,2,FALSE)</f>
        <v>-</v>
      </c>
      <c r="N30" s="367"/>
      <c r="O30" s="248"/>
      <c r="P30" s="336"/>
    </row>
    <row r="31" spans="2:17" ht="12.75" customHeight="1" thickBot="1" x14ac:dyDescent="0.25">
      <c r="B31" s="247"/>
      <c r="C31" s="247"/>
      <c r="D31" s="247"/>
      <c r="E31" s="247"/>
      <c r="F31" s="247"/>
      <c r="G31" s="247"/>
      <c r="H31" s="368"/>
      <c r="I31" s="267"/>
      <c r="J31" s="248"/>
      <c r="K31" s="248"/>
      <c r="L31" s="248"/>
      <c r="M31" s="273" t="s">
        <v>2</v>
      </c>
      <c r="N31" s="273" t="s">
        <v>66</v>
      </c>
      <c r="O31" s="273"/>
      <c r="P31" s="336"/>
    </row>
    <row r="32" spans="2:17" ht="12.75" customHeight="1" thickBot="1" x14ac:dyDescent="0.25">
      <c r="B32" s="247"/>
      <c r="C32" s="247"/>
      <c r="D32" s="247"/>
      <c r="E32" s="247"/>
      <c r="F32" s="247"/>
      <c r="G32" s="247"/>
      <c r="H32" s="369"/>
      <c r="I32" s="267"/>
      <c r="J32" s="248"/>
      <c r="K32" s="939" t="s">
        <v>67</v>
      </c>
      <c r="L32" s="940"/>
      <c r="M32" s="370">
        <f>SUM(M11,M19,M30)</f>
        <v>0</v>
      </c>
      <c r="N32" s="644" t="str">
        <f ca="1">IF(DetCL_DettContCostoCost_SommaIncrementi=0,"I",IF(ISERROR(MATCH(DetCL_DettContCostoCost_SommaIncrementi,INDIRECT(DetClasse_NomeMatriceMinClassi),1))=TRUE,INDEX(INDIRECT(DetClasse_NomeMatrice),1,1),INDEX(INDIRECT(DetClasse_NomeMatrice),MATCH(DetCL_DettContCostoCost_SommaIncrementi,INDIRECT(DetClasse_NomeMatriceMinClassi),1),1)))</f>
        <v>I</v>
      </c>
      <c r="O32" s="649">
        <f ca="1">IF(DetCL_DettContCostoCost_SommaIncrementi=0,0,IF(ISERROR(MATCH(DetCL_DettContCostoCost_SommaIncrementi,INDIRECT(DetClasse_NomeMatriceMinClassi),1))=TRUE,INDEX(INDIRECT(DetClasse_NomeMatrice),1,4),INDEX(INDIRECT(DetClasse_NomeMatrice),MATCH(DetCL_DettContCostoCost_SommaIncrementi,INDIRECT(DetClasse_NomeMatriceMinClassi),1),4)))</f>
        <v>0</v>
      </c>
      <c r="P32" s="336"/>
    </row>
    <row r="33" spans="2:16" ht="12.75" customHeight="1" thickBot="1" x14ac:dyDescent="0.25">
      <c r="B33" s="247"/>
      <c r="C33" s="247"/>
      <c r="D33" s="247"/>
      <c r="E33" s="247"/>
      <c r="F33" s="247"/>
      <c r="G33" s="247"/>
      <c r="H33" s="646"/>
      <c r="I33" s="267"/>
      <c r="J33" s="248"/>
      <c r="K33" s="268"/>
      <c r="L33" s="268"/>
      <c r="M33"/>
      <c r="N33"/>
      <c r="O33"/>
      <c r="P33" s="336"/>
    </row>
    <row r="34" spans="2:16" ht="12.75" customHeight="1" thickBot="1" x14ac:dyDescent="0.25">
      <c r="B34" s="648"/>
      <c r="C34" s="275"/>
      <c r="D34" s="275"/>
      <c r="E34" s="275"/>
      <c r="F34" s="934" t="s">
        <v>346</v>
      </c>
      <c r="G34" s="934"/>
      <c r="H34" s="934"/>
      <c r="I34" s="934"/>
      <c r="J34" s="934"/>
      <c r="K34" s="934"/>
      <c r="L34" s="934"/>
      <c r="M34" s="934"/>
      <c r="N34" s="935"/>
      <c r="O34" s="277">
        <f>CostoBase_NuovaEdif</f>
        <v>491.37</v>
      </c>
    </row>
    <row r="35" spans="2:16" ht="12.75" customHeight="1" thickBot="1" x14ac:dyDescent="0.25">
      <c r="B35" s="648"/>
      <c r="C35" s="275"/>
      <c r="D35" s="275"/>
      <c r="E35" s="275"/>
      <c r="F35" s="934" t="s">
        <v>348</v>
      </c>
      <c r="G35" s="934"/>
      <c r="H35" s="934"/>
      <c r="I35" s="934"/>
      <c r="J35" s="934"/>
      <c r="K35" s="934"/>
      <c r="L35" s="934"/>
      <c r="M35" s="934"/>
      <c r="N35" s="935"/>
      <c r="O35" s="650">
        <f ca="1">CostoBase_NuovaEdif*(1+DetClasse_Maggiorazione/100)</f>
        <v>491.37</v>
      </c>
      <c r="P35"/>
    </row>
    <row r="36" spans="2:16" ht="12.75" customHeight="1" thickBot="1" x14ac:dyDescent="0.25">
      <c r="B36"/>
      <c r="C36"/>
      <c r="D36"/>
      <c r="E36"/>
      <c r="F36"/>
      <c r="G36"/>
      <c r="H36"/>
      <c r="I36"/>
      <c r="J36"/>
      <c r="K36"/>
      <c r="L36"/>
      <c r="M36"/>
      <c r="N36"/>
      <c r="O36"/>
    </row>
    <row r="37" spans="2:16" ht="12.75" customHeight="1" thickBot="1" x14ac:dyDescent="0.25">
      <c r="B37" s="647"/>
      <c r="C37" s="275"/>
      <c r="D37" s="275"/>
      <c r="E37" s="275"/>
      <c r="F37" s="934" t="s">
        <v>347</v>
      </c>
      <c r="G37" s="934"/>
      <c r="H37" s="934"/>
      <c r="I37" s="934"/>
      <c r="J37" s="934"/>
      <c r="K37" s="934"/>
      <c r="L37" s="934"/>
      <c r="M37" s="934"/>
      <c r="N37" s="935"/>
      <c r="O37" s="277">
        <f>CostoBase_Ristrutturaz</f>
        <v>0</v>
      </c>
    </row>
    <row r="38" spans="2:16" ht="12.75" customHeight="1" thickBot="1" x14ac:dyDescent="0.25">
      <c r="B38" s="647"/>
      <c r="C38" s="647"/>
      <c r="D38" s="647"/>
      <c r="E38" s="647"/>
      <c r="F38" s="934" t="s">
        <v>349</v>
      </c>
      <c r="G38" s="934"/>
      <c r="H38" s="934"/>
      <c r="I38" s="934"/>
      <c r="J38" s="934"/>
      <c r="K38" s="934"/>
      <c r="L38" s="934"/>
      <c r="M38" s="934"/>
      <c r="N38" s="935"/>
      <c r="O38" s="650">
        <f ca="1">CostoBase_Ristrutturaz*(1+DetClasse_Maggiorazione/100)</f>
        <v>0</v>
      </c>
    </row>
    <row r="39" spans="2:16" ht="12.75" x14ac:dyDescent="0.2"/>
  </sheetData>
  <sheetProtection password="83CC" sheet="1" objects="1" scenarios="1" formatColumns="0" formatRows="0" insertRows="0"/>
  <dataConsolidate/>
  <mergeCells count="25">
    <mergeCell ref="P8:P9"/>
    <mergeCell ref="B8:C8"/>
    <mergeCell ref="B9:C9"/>
    <mergeCell ref="C28:G28"/>
    <mergeCell ref="C29:G29"/>
    <mergeCell ref="C24:G24"/>
    <mergeCell ref="B15:E16"/>
    <mergeCell ref="B17:E17"/>
    <mergeCell ref="B18:E18"/>
    <mergeCell ref="B19:E19"/>
    <mergeCell ref="B5:C5"/>
    <mergeCell ref="C25:G25"/>
    <mergeCell ref="G15:G16"/>
    <mergeCell ref="B10:C10"/>
    <mergeCell ref="B14:E14"/>
    <mergeCell ref="F15:F16"/>
    <mergeCell ref="F35:N35"/>
    <mergeCell ref="F34:N34"/>
    <mergeCell ref="F37:N37"/>
    <mergeCell ref="F38:N38"/>
    <mergeCell ref="B6:C6"/>
    <mergeCell ref="B7:C7"/>
    <mergeCell ref="C26:G26"/>
    <mergeCell ref="C27:G27"/>
    <mergeCell ref="K32:L32"/>
  </mergeCells>
  <conditionalFormatting sqref="D5:E5 D11 F14">
    <cfRule type="expression" dxfId="10" priority="10" stopIfTrue="1">
      <formula>IF(COUNTIF(dimensione_planimetrica_totali,"&gt;0")=0,1,0)</formula>
    </cfRule>
  </conditionalFormatting>
  <conditionalFormatting sqref="D6:E10 E11">
    <cfRule type="expression" dxfId="9" priority="9" stopIfTrue="1">
      <formula>IF(COUNTIF(dimensione_planimetrica_totali,"&gt;0")=0,1,0)</formula>
    </cfRule>
  </conditionalFormatting>
  <conditionalFormatting sqref="F6:F10">
    <cfRule type="expression" dxfId="8" priority="4" stopIfTrue="1">
      <formula>Totale_alloggi_edificio&gt;0</formula>
    </cfRule>
  </conditionalFormatting>
  <conditionalFormatting sqref="F15">
    <cfRule type="expression" dxfId="7" priority="6" stopIfTrue="1">
      <formula>IF(COUNTIF(dimensione_planimetrica_totali,"&gt;0")=0,1,0)</formula>
    </cfRule>
  </conditionalFormatting>
  <conditionalFormatting sqref="F17:F20">
    <cfRule type="expression" dxfId="6" priority="7" stopIfTrue="1">
      <formula>IF(COUNTIF(dimensione_planimetrica_totali,"&gt;0")=0,1,0)</formula>
    </cfRule>
  </conditionalFormatting>
  <conditionalFormatting sqref="F5:G5 G14">
    <cfRule type="expression" dxfId="5" priority="3" stopIfTrue="1">
      <formula>Totale_alloggi_edificio&gt;0</formula>
    </cfRule>
  </conditionalFormatting>
  <conditionalFormatting sqref="G6:G10">
    <cfRule type="expression" dxfId="4" priority="2" stopIfTrue="1">
      <formula>Totale_sua_edificio&gt;0</formula>
    </cfRule>
  </conditionalFormatting>
  <conditionalFormatting sqref="G15:G16 G18:G19">
    <cfRule type="expression" dxfId="3" priority="1" stopIfTrue="1">
      <formula>Totale_snr_edificio&gt;0</formula>
    </cfRule>
  </conditionalFormatting>
  <dataValidations count="4">
    <dataValidation type="list" allowBlank="1" showInputMessage="1" showErrorMessage="1" sqref="B25:B29" xr:uid="{00000000-0002-0000-0500-000000000000}">
      <formula1>opzioni</formula1>
    </dataValidation>
    <dataValidation type="custom" allowBlank="1" showInputMessage="1" showErrorMessage="1" errorTitle="ATTENZIONE!" error="Non è possibile riportare un valore libero di S.u.a. quando si è già ottenuto un valore dal calcolo della superficie dell'edificio." sqref="G6:G10" xr:uid="{00000000-0002-0000-0500-000001000000}">
      <formula1>Totale_sua_edificio=0</formula1>
    </dataValidation>
    <dataValidation type="custom" allowBlank="1" showInputMessage="1" showErrorMessage="1" errorTitle="ATTENZIONE!" error="Non è possibile riportare un valore libero di alloggi quando si è già ottenuto un valore dal calcolo della superficie dell'edificio." sqref="F6:F10" xr:uid="{00000000-0002-0000-0500-000002000000}">
      <formula1>Totale_alloggi_edificio=0</formula1>
    </dataValidation>
    <dataValidation type="custom" allowBlank="1" showInputMessage="1" showErrorMessage="1" errorTitle="ATTENZIONE!" error="Non è possibile riportare un valore libero di S.n.r. quando si è già ottenuto un valore dal calcolo della superficie dell'edificio." sqref="G18:G19 G15:G16" xr:uid="{00000000-0002-0000-0500-000003000000}">
      <formula1>Totale_snr_edificio=0</formula1>
    </dataValidation>
  </dataValidations>
  <hyperlinks>
    <hyperlink ref="P8:P9" location="'Procedura guidata'!A1" display="Torna alla procedura guidata!" xr:uid="{00000000-0004-0000-0500-000000000000}"/>
  </hyperlinks>
  <printOptions horizontalCentered="1"/>
  <pageMargins left="0.15748031496062992" right="0.15748031496062992" top="0.27559055118110237" bottom="0.27559055118110237" header="0.27559055118110237" footer="0.51181102362204722"/>
  <pageSetup paperSize="9" orientation="landscape"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66"/>
    <pageSetUpPr fitToPage="1"/>
  </sheetPr>
  <dimension ref="A1:IU84"/>
  <sheetViews>
    <sheetView showGridLines="0" workbookViewId="0"/>
  </sheetViews>
  <sheetFormatPr defaultColWidth="0" defaultRowHeight="0" customHeight="1" zeroHeight="1" x14ac:dyDescent="0.2"/>
  <cols>
    <col min="1" max="1" width="5.7109375" style="250" customWidth="1"/>
    <col min="2" max="2" width="21" style="250" customWidth="1"/>
    <col min="3" max="5" width="9.7109375" style="250" customWidth="1"/>
    <col min="6" max="6" width="12.7109375" style="250" customWidth="1"/>
    <col min="7" max="7" width="1.42578125" style="250" hidden="1" customWidth="1"/>
    <col min="8" max="8" width="5.42578125" style="250" hidden="1" customWidth="1"/>
    <col min="9" max="9" width="1.7109375" style="250" customWidth="1"/>
    <col min="10" max="12" width="9.7109375" style="250" customWidth="1"/>
    <col min="13" max="13" width="12.7109375" style="250" customWidth="1"/>
    <col min="14" max="14" width="1.5703125" style="250" customWidth="1"/>
    <col min="15" max="17" width="9.7109375" style="250" customWidth="1"/>
    <col min="18" max="18" width="12.7109375" style="250" customWidth="1"/>
    <col min="19" max="19" width="18.7109375" style="250" customWidth="1"/>
    <col min="20" max="20" width="6.7109375" style="250" hidden="1" customWidth="1"/>
    <col min="21" max="21" width="4.42578125" style="250" hidden="1" customWidth="1"/>
    <col min="22" max="22" width="3.7109375" style="250" hidden="1" customWidth="1"/>
    <col min="23" max="23" width="8.42578125" style="250" hidden="1" customWidth="1"/>
    <col min="24" max="24" width="6.7109375" style="250" hidden="1" customWidth="1"/>
    <col min="25" max="25" width="9.42578125" style="250" hidden="1" customWidth="1"/>
    <col min="26" max="26" width="4.7109375" style="250" hidden="1" customWidth="1"/>
    <col min="27" max="27" width="3.5703125" style="250" hidden="1" customWidth="1"/>
    <col min="28" max="28" width="12.42578125" style="250" hidden="1" customWidth="1"/>
    <col min="29" max="29" width="14.28515625" style="250" hidden="1" customWidth="1"/>
    <col min="30" max="255" width="9.140625" style="250" hidden="1" customWidth="1"/>
    <col min="256" max="16384" width="0.140625" style="250" hidden="1"/>
  </cols>
  <sheetData>
    <row r="1" spans="2:19" ht="12.75" customHeight="1" x14ac:dyDescent="0.2">
      <c r="B1" s="247"/>
      <c r="C1" s="247"/>
      <c r="D1" s="247"/>
      <c r="E1" s="247"/>
      <c r="F1" s="247"/>
      <c r="G1" s="247"/>
      <c r="H1" s="247"/>
      <c r="I1" s="247"/>
      <c r="J1" s="247"/>
      <c r="K1" s="247"/>
      <c r="L1" s="247"/>
      <c r="M1" s="247"/>
      <c r="N1" s="248"/>
      <c r="O1" s="248"/>
      <c r="P1" s="248"/>
      <c r="Q1" s="248"/>
      <c r="R1" s="249"/>
    </row>
    <row r="2" spans="2:19" ht="12.75" customHeight="1" thickBot="1" x14ac:dyDescent="0.25">
      <c r="B2" s="247"/>
      <c r="C2" s="959" t="s">
        <v>164</v>
      </c>
      <c r="D2" s="959"/>
      <c r="E2" s="959"/>
      <c r="F2" s="959"/>
      <c r="G2" s="247"/>
      <c r="H2" s="247"/>
      <c r="I2" s="247"/>
      <c r="J2" s="959" t="s">
        <v>163</v>
      </c>
      <c r="K2" s="959"/>
      <c r="L2" s="959"/>
      <c r="M2" s="959"/>
      <c r="N2" s="251"/>
      <c r="O2" s="959" t="s">
        <v>128</v>
      </c>
      <c r="P2" s="959"/>
      <c r="Q2" s="959"/>
      <c r="R2" s="959"/>
    </row>
    <row r="3" spans="2:19" ht="12.75" customHeight="1" x14ac:dyDescent="0.2">
      <c r="B3" s="247"/>
      <c r="C3" s="960" t="s">
        <v>55</v>
      </c>
      <c r="D3" s="961"/>
      <c r="E3" s="961"/>
      <c r="F3" s="962"/>
      <c r="G3" s="247"/>
      <c r="H3" s="247"/>
      <c r="I3" s="247"/>
      <c r="J3" s="960" t="s">
        <v>55</v>
      </c>
      <c r="K3" s="961"/>
      <c r="L3" s="961"/>
      <c r="M3" s="962"/>
      <c r="N3" s="252"/>
      <c r="O3" s="960" t="s">
        <v>55</v>
      </c>
      <c r="P3" s="961"/>
      <c r="Q3" s="961"/>
      <c r="R3" s="962"/>
    </row>
    <row r="4" spans="2:19" ht="12.75" customHeight="1" x14ac:dyDescent="0.25">
      <c r="B4" s="247"/>
      <c r="C4" s="936" t="s">
        <v>114</v>
      </c>
      <c r="D4" s="938"/>
      <c r="E4" s="937"/>
      <c r="F4" s="490">
        <v>0</v>
      </c>
      <c r="G4" s="247"/>
      <c r="H4" s="247"/>
      <c r="I4" s="247"/>
      <c r="J4" s="936" t="s">
        <v>114</v>
      </c>
      <c r="K4" s="938"/>
      <c r="L4" s="937"/>
      <c r="M4" s="490">
        <v>0</v>
      </c>
      <c r="N4" s="254"/>
      <c r="O4" s="936" t="s">
        <v>114</v>
      </c>
      <c r="P4" s="938"/>
      <c r="Q4" s="937"/>
      <c r="R4" s="490">
        <v>0</v>
      </c>
      <c r="S4" s="12"/>
    </row>
    <row r="5" spans="2:19" ht="12.75" customHeight="1" x14ac:dyDescent="0.25">
      <c r="B5" s="247"/>
      <c r="C5" s="936" t="s">
        <v>115</v>
      </c>
      <c r="D5" s="938"/>
      <c r="E5" s="937"/>
      <c r="F5" s="490">
        <v>0</v>
      </c>
      <c r="G5" s="247"/>
      <c r="H5" s="247"/>
      <c r="I5" s="247"/>
      <c r="J5" s="936" t="s">
        <v>115</v>
      </c>
      <c r="K5" s="938"/>
      <c r="L5" s="937"/>
      <c r="M5" s="490">
        <v>0</v>
      </c>
      <c r="N5" s="254"/>
      <c r="O5" s="936" t="s">
        <v>115</v>
      </c>
      <c r="P5" s="938"/>
      <c r="Q5" s="937"/>
      <c r="R5" s="490">
        <v>0</v>
      </c>
      <c r="S5" s="13"/>
    </row>
    <row r="6" spans="2:19" ht="12.75" customHeight="1" x14ac:dyDescent="0.2">
      <c r="B6" s="247"/>
      <c r="C6" s="936" t="s">
        <v>116</v>
      </c>
      <c r="D6" s="938"/>
      <c r="E6" s="937"/>
      <c r="F6" s="374">
        <f>60%*F5</f>
        <v>0</v>
      </c>
      <c r="G6" s="247"/>
      <c r="H6" s="247"/>
      <c r="I6" s="247"/>
      <c r="J6" s="936" t="s">
        <v>116</v>
      </c>
      <c r="K6" s="938"/>
      <c r="L6" s="937"/>
      <c r="M6" s="374">
        <f>60%*M5</f>
        <v>0</v>
      </c>
      <c r="N6" s="256"/>
      <c r="O6" s="936" t="s">
        <v>116</v>
      </c>
      <c r="P6" s="938"/>
      <c r="Q6" s="937"/>
      <c r="R6" s="374">
        <f>60%*R5</f>
        <v>0</v>
      </c>
      <c r="S6"/>
    </row>
    <row r="7" spans="2:19" ht="12.75" customHeight="1" x14ac:dyDescent="0.2">
      <c r="B7" s="247"/>
      <c r="C7" s="936" t="s">
        <v>211</v>
      </c>
      <c r="D7" s="938"/>
      <c r="E7" s="937"/>
      <c r="F7" s="374">
        <f>SUM(F4,F6)</f>
        <v>0</v>
      </c>
      <c r="G7" s="247"/>
      <c r="H7" s="247"/>
      <c r="I7" s="247"/>
      <c r="J7" s="936" t="s">
        <v>211</v>
      </c>
      <c r="K7" s="938"/>
      <c r="L7" s="937"/>
      <c r="M7" s="374">
        <f>SUM(M4,M6)</f>
        <v>0</v>
      </c>
      <c r="N7" s="254"/>
      <c r="O7" s="956" t="s">
        <v>211</v>
      </c>
      <c r="P7" s="957"/>
      <c r="Q7" s="958"/>
      <c r="R7" s="546">
        <f>SUM(R4,R6)</f>
        <v>0</v>
      </c>
      <c r="S7" s="878" t="s">
        <v>269</v>
      </c>
    </row>
    <row r="8" spans="2:19" ht="12.75" customHeight="1" thickBot="1" x14ac:dyDescent="0.25">
      <c r="B8" s="247"/>
      <c r="C8" s="946" t="s">
        <v>129</v>
      </c>
      <c r="D8" s="950"/>
      <c r="E8" s="947"/>
      <c r="F8" s="491">
        <v>0</v>
      </c>
      <c r="G8" s="247"/>
      <c r="H8" s="247"/>
      <c r="I8" s="247"/>
      <c r="J8" s="946" t="s">
        <v>129</v>
      </c>
      <c r="K8" s="950"/>
      <c r="L8" s="947"/>
      <c r="M8" s="493">
        <v>0</v>
      </c>
      <c r="N8" s="254"/>
      <c r="O8" s="946" t="s">
        <v>129</v>
      </c>
      <c r="P8" s="950"/>
      <c r="Q8" s="947"/>
      <c r="R8" s="493">
        <v>0</v>
      </c>
      <c r="S8" s="923"/>
    </row>
    <row r="9" spans="2:19" ht="12.75" customHeight="1" thickBot="1" x14ac:dyDescent="0.25">
      <c r="B9" s="247"/>
      <c r="C9" s="248"/>
      <c r="D9" s="248"/>
      <c r="E9" s="248"/>
      <c r="F9" s="259"/>
      <c r="G9" s="247"/>
      <c r="H9" s="247"/>
      <c r="I9" s="247"/>
      <c r="J9" s="248"/>
      <c r="K9" s="248"/>
      <c r="L9" s="248"/>
      <c r="M9" s="260"/>
      <c r="N9" s="247"/>
      <c r="O9" s="247"/>
      <c r="P9" s="247"/>
      <c r="Q9" s="247"/>
      <c r="R9" s="247"/>
    </row>
    <row r="10" spans="2:19" ht="12.75" customHeight="1" x14ac:dyDescent="0.2">
      <c r="B10" s="248"/>
      <c r="C10" s="960" t="s">
        <v>65</v>
      </c>
      <c r="D10" s="961"/>
      <c r="E10" s="961"/>
      <c r="F10" s="962"/>
      <c r="G10" s="261"/>
      <c r="H10" s="262"/>
      <c r="I10" s="247"/>
      <c r="J10" s="960" t="s">
        <v>65</v>
      </c>
      <c r="K10" s="961"/>
      <c r="L10" s="961"/>
      <c r="M10" s="962"/>
      <c r="N10" s="247"/>
      <c r="O10" s="643" t="b">
        <f>IF(AND(selezione_passo_descrizione_intervento="x",selezione_nuova_costruzione="o"),FALSE,TRUE)</f>
        <v>1</v>
      </c>
      <c r="P10" s="247"/>
      <c r="Q10" s="247"/>
      <c r="R10" s="247"/>
    </row>
    <row r="11" spans="2:19" ht="12.75" customHeight="1" x14ac:dyDescent="0.2">
      <c r="B11" s="248"/>
      <c r="C11" s="936" t="s">
        <v>118</v>
      </c>
      <c r="D11" s="938"/>
      <c r="E11" s="937"/>
      <c r="F11" s="490">
        <v>0</v>
      </c>
      <c r="G11" s="261"/>
      <c r="H11" s="262"/>
      <c r="I11" s="247"/>
      <c r="J11" s="936" t="s">
        <v>118</v>
      </c>
      <c r="K11" s="938"/>
      <c r="L11" s="937"/>
      <c r="M11" s="490">
        <v>0</v>
      </c>
      <c r="N11" s="247"/>
      <c r="O11" s="643" t="b">
        <f>IF(AND(selezione_passo_descrizione_intervento="x",selezione_ampliamento="o",selezione_ristrutturazione="o"),FALSE,TRUE)</f>
        <v>1</v>
      </c>
      <c r="P11" s="247"/>
      <c r="Q11" s="247"/>
      <c r="R11" s="247"/>
    </row>
    <row r="12" spans="2:19" ht="12.75" customHeight="1" x14ac:dyDescent="0.2">
      <c r="B12" s="248"/>
      <c r="C12" s="936" t="s">
        <v>119</v>
      </c>
      <c r="D12" s="938"/>
      <c r="E12" s="937"/>
      <c r="F12" s="490">
        <v>0</v>
      </c>
      <c r="G12" s="261">
        <f>G11*0.6</f>
        <v>0</v>
      </c>
      <c r="H12" s="262"/>
      <c r="I12" s="247"/>
      <c r="J12" s="936" t="s">
        <v>119</v>
      </c>
      <c r="K12" s="938"/>
      <c r="L12" s="937"/>
      <c r="M12" s="490">
        <v>0</v>
      </c>
      <c r="N12" s="247"/>
      <c r="O12" s="643" t="b">
        <f>IF(AND(selezione_passo_descrizione_intervento="x",selezione_sottotetti="o"),FALSE,TRUE)</f>
        <v>1</v>
      </c>
      <c r="P12" s="247"/>
      <c r="Q12" s="247"/>
      <c r="R12" s="247"/>
    </row>
    <row r="13" spans="2:19" ht="12.75" customHeight="1" thickBot="1" x14ac:dyDescent="0.25">
      <c r="B13" s="248"/>
      <c r="C13" s="936" t="s">
        <v>120</v>
      </c>
      <c r="D13" s="938"/>
      <c r="E13" s="937"/>
      <c r="F13" s="374">
        <f>F12*0.6</f>
        <v>0</v>
      </c>
      <c r="G13" s="263">
        <v>0</v>
      </c>
      <c r="H13" s="262"/>
      <c r="I13" s="247"/>
      <c r="J13" s="936" t="s">
        <v>120</v>
      </c>
      <c r="K13" s="938"/>
      <c r="L13" s="937"/>
      <c r="M13" s="374">
        <f>M12*0.6</f>
        <v>0</v>
      </c>
      <c r="N13" s="247"/>
      <c r="O13" s="643"/>
      <c r="P13" s="247"/>
      <c r="Q13" s="247"/>
      <c r="R13" s="247"/>
    </row>
    <row r="14" spans="2:19" ht="12.75" customHeight="1" thickBot="1" x14ac:dyDescent="0.25">
      <c r="B14" s="248"/>
      <c r="C14" s="936" t="s">
        <v>121</v>
      </c>
      <c r="D14" s="938"/>
      <c r="E14" s="937"/>
      <c r="F14" s="374">
        <f>F11+F13</f>
        <v>0</v>
      </c>
      <c r="G14" s="264">
        <f>G10+G12</f>
        <v>0</v>
      </c>
      <c r="H14" s="262"/>
      <c r="I14" s="248"/>
      <c r="J14" s="936" t="s">
        <v>121</v>
      </c>
      <c r="K14" s="938"/>
      <c r="L14" s="937"/>
      <c r="M14" s="374">
        <f>M11+M13</f>
        <v>0</v>
      </c>
      <c r="N14" s="247"/>
      <c r="O14" s="247"/>
      <c r="P14" s="247"/>
      <c r="Q14" s="247"/>
      <c r="R14" s="247"/>
    </row>
    <row r="15" spans="2:19" ht="12.75" customHeight="1" thickBot="1" x14ac:dyDescent="0.25">
      <c r="B15" s="248"/>
      <c r="C15" s="946" t="s">
        <v>129</v>
      </c>
      <c r="D15" s="950"/>
      <c r="E15" s="947"/>
      <c r="F15" s="491">
        <v>0</v>
      </c>
      <c r="G15" s="265"/>
      <c r="H15" s="262"/>
      <c r="I15" s="248"/>
      <c r="J15" s="946" t="s">
        <v>129</v>
      </c>
      <c r="K15" s="950"/>
      <c r="L15" s="947"/>
      <c r="M15" s="493">
        <v>0</v>
      </c>
      <c r="N15" s="247"/>
      <c r="O15" s="247"/>
      <c r="P15" s="247"/>
      <c r="Q15" s="247"/>
      <c r="R15" s="247"/>
    </row>
    <row r="16" spans="2:19" ht="12.75" customHeight="1" thickBot="1" x14ac:dyDescent="0.25">
      <c r="B16" s="248"/>
      <c r="C16" s="248"/>
      <c r="D16" s="248"/>
      <c r="E16" s="248"/>
      <c r="F16" s="379" t="s">
        <v>130</v>
      </c>
      <c r="G16" s="266"/>
      <c r="H16" s="262"/>
      <c r="I16" s="267"/>
      <c r="J16" s="267"/>
      <c r="K16" s="267"/>
      <c r="L16" s="248"/>
      <c r="M16" s="276" t="s">
        <v>130</v>
      </c>
      <c r="N16" s="247"/>
      <c r="O16" s="247"/>
      <c r="P16" s="247"/>
      <c r="Q16" s="247"/>
      <c r="R16" s="268" t="s">
        <v>130</v>
      </c>
    </row>
    <row r="17" spans="2:18" ht="12.75" customHeight="1" thickBot="1" x14ac:dyDescent="0.25">
      <c r="B17" s="248"/>
      <c r="C17" s="939" t="s">
        <v>68</v>
      </c>
      <c r="D17" s="976"/>
      <c r="E17" s="977"/>
      <c r="F17" s="376">
        <f>IF(CostoCost_NuovaCostComm_SupCompl&lt;(F4*0.25),CostoCost_NuovaCostResid_SupCompl+CostoCost_NuovaCostComm_SupCompl,CostoCost_NuovaCostResid_SupCompl)</f>
        <v>0</v>
      </c>
      <c r="G17" s="269" t="s">
        <v>69</v>
      </c>
      <c r="H17" s="269"/>
      <c r="I17" s="269"/>
      <c r="J17" s="939" t="s">
        <v>68</v>
      </c>
      <c r="K17" s="976"/>
      <c r="L17" s="977"/>
      <c r="M17" s="376">
        <f>IF(CostoCost_RistComm_SupCompl&lt;(M4*0.25),CostoCost_RistResid_SupCompl+CostoCost_RistComm_SupCompl,CostoCost_RistResid_SupCompl)</f>
        <v>0</v>
      </c>
      <c r="N17" s="248"/>
      <c r="O17" s="939" t="s">
        <v>68</v>
      </c>
      <c r="P17" s="976"/>
      <c r="Q17" s="977"/>
      <c r="R17" s="376">
        <f>CostoCost_SottotResid_SupCompl</f>
        <v>0</v>
      </c>
    </row>
    <row r="18" spans="2:18" ht="12.75" customHeight="1" x14ac:dyDescent="0.2">
      <c r="B18" s="248"/>
      <c r="C18" s="248"/>
      <c r="D18" s="248"/>
      <c r="E18" s="248"/>
      <c r="F18" s="270"/>
      <c r="G18" s="266"/>
      <c r="H18" s="262"/>
      <c r="I18" s="267"/>
      <c r="J18" s="267"/>
      <c r="K18" s="267"/>
      <c r="L18" s="248"/>
      <c r="M18" s="248"/>
      <c r="N18" s="248"/>
      <c r="O18" s="271"/>
      <c r="P18" s="271"/>
      <c r="Q18" s="248"/>
      <c r="R18" s="248"/>
    </row>
    <row r="19" spans="2:18" ht="12.75" customHeight="1" thickBot="1" x14ac:dyDescent="0.25">
      <c r="B19" s="969" t="s">
        <v>223</v>
      </c>
      <c r="C19" s="969"/>
      <c r="D19" s="969"/>
      <c r="E19" s="969"/>
      <c r="F19" s="272"/>
      <c r="G19" s="247"/>
      <c r="H19" s="247"/>
      <c r="I19" s="247"/>
      <c r="J19" s="247"/>
      <c r="K19" s="247"/>
      <c r="L19" s="247"/>
      <c r="M19" s="273"/>
      <c r="N19" s="274"/>
      <c r="O19" s="274"/>
      <c r="P19" s="274"/>
      <c r="Q19" s="274"/>
      <c r="R19" s="273"/>
    </row>
    <row r="20" spans="2:18" ht="12.75" customHeight="1" thickBot="1" x14ac:dyDescent="0.25">
      <c r="B20" s="967" t="s">
        <v>132</v>
      </c>
      <c r="C20" s="967"/>
      <c r="D20" s="967"/>
      <c r="E20" s="968"/>
      <c r="F20" s="277">
        <f>CostoBase_NuovaEdif</f>
        <v>491.37</v>
      </c>
      <c r="G20" s="247"/>
      <c r="H20" s="247"/>
      <c r="I20" s="247"/>
      <c r="J20" s="247"/>
      <c r="K20" s="247"/>
      <c r="L20" s="276"/>
      <c r="M20" s="277">
        <f>CostoBase_Ristrutturaz</f>
        <v>0</v>
      </c>
      <c r="N20" s="247"/>
      <c r="O20" s="247"/>
      <c r="P20" s="247"/>
      <c r="Q20" s="276"/>
      <c r="R20" s="277">
        <f>CostoBase_NuovaEdif</f>
        <v>491.37</v>
      </c>
    </row>
    <row r="21" spans="2:18" ht="12.75" customHeight="1" thickBot="1" x14ac:dyDescent="0.25">
      <c r="B21" s="967" t="s">
        <v>133</v>
      </c>
      <c r="C21" s="967"/>
      <c r="D21" s="967"/>
      <c r="E21" s="968"/>
      <c r="F21" s="277">
        <f ca="1">DetClasse_CostoMaggioratoNuovaEdif</f>
        <v>491.37</v>
      </c>
      <c r="G21" s="247"/>
      <c r="H21" s="247"/>
      <c r="I21" s="247"/>
      <c r="J21" s="247"/>
      <c r="K21" s="247"/>
      <c r="L21" s="276"/>
      <c r="M21" s="277">
        <f ca="1">DetClasse_CostoMaggioratoRistr</f>
        <v>0</v>
      </c>
      <c r="N21" s="247"/>
      <c r="O21" s="247"/>
      <c r="P21" s="247"/>
      <c r="Q21" s="276"/>
      <c r="R21" s="277">
        <f ca="1">DetClasse_CostoMaggioratoNuovaEdif</f>
        <v>491.37</v>
      </c>
    </row>
    <row r="22" spans="2:18" ht="12.75" customHeight="1" thickBot="1" x14ac:dyDescent="0.25">
      <c r="B22" s="967" t="s">
        <v>131</v>
      </c>
      <c r="C22" s="967"/>
      <c r="D22" s="967"/>
      <c r="E22" s="968"/>
      <c r="F22" s="277">
        <f ca="1">CostoCost_NuovaCost_SupCompl*F21</f>
        <v>0</v>
      </c>
      <c r="G22" s="278"/>
      <c r="H22" s="262"/>
      <c r="I22" s="267"/>
      <c r="J22" s="267"/>
      <c r="K22" s="247"/>
      <c r="L22" s="276"/>
      <c r="M22" s="277">
        <f ca="1">CostoCost_Rist_SupCompl*M21</f>
        <v>0</v>
      </c>
      <c r="N22" s="247"/>
      <c r="O22" s="247"/>
      <c r="P22" s="247"/>
      <c r="Q22" s="276"/>
      <c r="R22" s="277">
        <f ca="1">CostoCost_Sot_SupCompl*R21</f>
        <v>0</v>
      </c>
    </row>
    <row r="23" spans="2:18" ht="12.75" customHeight="1" x14ac:dyDescent="0.2">
      <c r="B23" s="279"/>
      <c r="C23" s="267"/>
      <c r="D23" s="267"/>
      <c r="E23" s="267"/>
      <c r="F23" s="280"/>
      <c r="G23" s="278"/>
      <c r="H23" s="262"/>
      <c r="I23" s="267"/>
      <c r="J23" s="267"/>
      <c r="K23" s="267"/>
      <c r="L23" s="267"/>
      <c r="M23" s="267"/>
      <c r="N23" s="247"/>
      <c r="O23" s="247"/>
      <c r="P23" s="247"/>
      <c r="Q23" s="248"/>
      <c r="R23" s="248"/>
    </row>
    <row r="24" spans="2:18" ht="12.75" customHeight="1" thickBot="1" x14ac:dyDescent="0.25">
      <c r="B24" s="969" t="s">
        <v>220</v>
      </c>
      <c r="C24" s="969"/>
      <c r="D24" s="969"/>
      <c r="E24" s="273" t="s">
        <v>140</v>
      </c>
      <c r="F24" s="281"/>
      <c r="G24" s="247"/>
      <c r="H24" s="247"/>
      <c r="I24" s="247"/>
      <c r="J24" s="247"/>
      <c r="K24" s="247"/>
      <c r="L24" s="276" t="s">
        <v>140</v>
      </c>
      <c r="M24" s="247"/>
      <c r="N24" s="247"/>
      <c r="O24" s="247"/>
      <c r="P24" s="247"/>
      <c r="Q24" s="276" t="s">
        <v>140</v>
      </c>
      <c r="R24" s="248"/>
    </row>
    <row r="25" spans="2:18" ht="12.75" customHeight="1" thickBot="1" x14ac:dyDescent="0.25">
      <c r="B25" s="967" t="s">
        <v>134</v>
      </c>
      <c r="C25" s="967"/>
      <c r="D25" s="968"/>
      <c r="E25" s="282">
        <f ca="1">IF(ISERROR(MATCH(DetCL_DettContCostoCost_SommaIncrementi,INDIRECT(DetClasse_NomeMatriceMinClassi),1))=TRUE,INDEX(INDIRECT(DetClasse_NomeMatrice),1,5),INDEX(INDIRECT(DetClasse_NomeMatrice),MATCH(DetCL_DettContCostoCost_SommaIncrementi,INDIRECT(DetClasse_NomeMatriceMinClassi),1),5))</f>
        <v>6</v>
      </c>
      <c r="F25" s="277">
        <f ca="1">CostoCost_NuovaCost_CcEdificio*CostoCost_NuovaCost_ContrBaseMinistAliq/100</f>
        <v>0</v>
      </c>
      <c r="G25" s="247"/>
      <c r="H25" s="247"/>
      <c r="I25" s="247"/>
      <c r="J25" s="247"/>
      <c r="K25" s="247"/>
      <c r="L25" s="283">
        <f ca="1">IF(ISERROR(MATCH([0]!DetCL_DettContCostoCost_SommaIncrementi,INDIRECT(DetClasse_NomeMatriceMinClassi),1))=TRUE,INDEX(INDIRECT(DetClasse_NomeMatrice),1,6),INDEX(INDIRECT(DetClasse_NomeMatrice),MATCH([0]!DetCL_DettContCostoCost_SommaIncrementi,INDIRECT(DetClasse_NomeMatriceMinClassi),1),6))</f>
        <v>5</v>
      </c>
      <c r="M25" s="277">
        <f ca="1">CostoCost_Rist_CcEdificio*CostoCost_Rist_ContrBaseMinistAliq/100</f>
        <v>0</v>
      </c>
      <c r="N25" s="247"/>
      <c r="O25" s="247"/>
      <c r="P25" s="247"/>
      <c r="Q25" s="283">
        <f ca="1">IF(ISERROR(MATCH([0]!DetCL_DettContCostoCost_SommaIncrementi,INDIRECT(DetClasse_NomeMatriceMinClassi),1))=TRUE,INDEX(INDIRECT(DetClasse_NomeMatrice),1,5),INDEX(INDIRECT(DetClasse_NomeMatrice),MATCH([0]!DetCL_DettContCostoCost_SommaIncrementi,INDIRECT(DetClasse_NomeMatriceMinClassi),1),5))</f>
        <v>6</v>
      </c>
      <c r="R25" s="277">
        <f ca="1">CostoCost_Sot_CcEdificio*CostoCost_Sot_ContrBaseMinistAliq/100</f>
        <v>0</v>
      </c>
    </row>
    <row r="26" spans="2:18" ht="12.75" customHeight="1" thickBot="1" x14ac:dyDescent="0.25">
      <c r="B26" s="967" t="s">
        <v>135</v>
      </c>
      <c r="C26" s="967"/>
      <c r="D26" s="968"/>
      <c r="E26" s="282">
        <f ca="1">IF(ISERROR(MATCH(DetCL_DettContCostoCost_SommaIncrementi,INDIRECT(DetClasse_NomeMatriceMinClassi),1))=TRUE,INDEX(INDIRECT(DetClasse_NomeMatrice),1,5),INDEX(INDIRECT(DetClasse_NomeMatrice),MATCH(DetCL_DettContCostoCost_SommaIncrementi,INDIRECT(DetClasse_NomeMatriceMinClassi),1),5))</f>
        <v>6</v>
      </c>
      <c r="F26" s="277">
        <f ca="1">CostoCost_NuovaCostResid_ComputoEstim*CostoCost_NuovaCost_ContrComEstResAliq/100</f>
        <v>0</v>
      </c>
      <c r="G26" s="247"/>
      <c r="H26" s="247"/>
      <c r="I26" s="247"/>
      <c r="J26" s="247"/>
      <c r="K26" s="247"/>
      <c r="L26" s="283">
        <f ca="1">IF(ISERROR(MATCH([0]!DetCL_DettContCostoCost_SommaIncrementi,INDIRECT(DetClasse_NomeMatriceMinClassi),1))=TRUE,INDEX(INDIRECT(DetClasse_NomeMatrice),1,6),INDEX(INDIRECT(DetClasse_NomeMatrice),MATCH([0]!DetCL_DettContCostoCost_SommaIncrementi,INDIRECT(DetClasse_NomeMatriceMinClassi),1),6))</f>
        <v>5</v>
      </c>
      <c r="M26" s="277">
        <f ca="1">CostoCost_Rist_Resid_ComputoEstim*CostoCost_Rist_ContrComEstResAliq/100</f>
        <v>0</v>
      </c>
      <c r="N26" s="247"/>
      <c r="O26" s="247"/>
      <c r="P26" s="247"/>
      <c r="Q26" s="283">
        <f ca="1">IF(ISERROR(MATCH([0]!DetCL_DettContCostoCost_SommaIncrementi,INDIRECT(DetClasse_NomeMatriceMinClassi),1))=TRUE,INDEX(INDIRECT(DetClasse_NomeMatrice),1,5),INDEX(INDIRECT(DetClasse_NomeMatrice),MATCH([0]!DetCL_DettContCostoCost_SommaIncrementi,INDIRECT(DetClasse_NomeMatriceMinClassi),1),5))</f>
        <v>6</v>
      </c>
      <c r="R26" s="277">
        <f ca="1">CostoCost_Sottotetti_ComputoEstim*CostoCost_Sot_ContrComEstResAliq/100</f>
        <v>0</v>
      </c>
    </row>
    <row r="27" spans="2:18" ht="12.75" customHeight="1" thickBot="1" x14ac:dyDescent="0.25">
      <c r="B27" s="967" t="s">
        <v>136</v>
      </c>
      <c r="C27" s="967"/>
      <c r="D27" s="968"/>
      <c r="E27" s="511">
        <f>Parametri_Aliquota_terziario_nuova_costr</f>
        <v>0.1</v>
      </c>
      <c r="F27" s="277">
        <f>CostoCost_NuovaCostComm_ComputoEstim*CostoCost_NuovaCost_ContrComEstComAliq</f>
        <v>0</v>
      </c>
      <c r="G27" s="247"/>
      <c r="H27" s="247"/>
      <c r="I27" s="247"/>
      <c r="J27" s="247"/>
      <c r="K27" s="247"/>
      <c r="L27" s="511">
        <f>Parametri_Aliquota_terziario_ristrutt</f>
        <v>0.1</v>
      </c>
      <c r="M27" s="277">
        <f>CostoCost_RistComm_ComputoEstim*CostoCost_Rist_ContrComEstComAliq</f>
        <v>0</v>
      </c>
      <c r="N27" s="247"/>
      <c r="O27" s="247"/>
      <c r="P27" s="247"/>
      <c r="Q27" s="248"/>
      <c r="R27" s="375"/>
    </row>
    <row r="28" spans="2:18" ht="12.75" customHeight="1" thickBot="1" x14ac:dyDescent="0.25">
      <c r="B28" s="967" t="s">
        <v>137</v>
      </c>
      <c r="C28" s="967"/>
      <c r="D28" s="967"/>
      <c r="E28" s="247"/>
      <c r="F28" s="277">
        <f ca="1">F25+F26+F27</f>
        <v>0</v>
      </c>
      <c r="G28" s="247"/>
      <c r="H28" s="247"/>
      <c r="I28" s="247"/>
      <c r="J28" s="247"/>
      <c r="K28" s="247"/>
      <c r="L28" s="247"/>
      <c r="M28" s="277">
        <f ca="1">M25+M26+M27</f>
        <v>0</v>
      </c>
      <c r="N28" s="247"/>
      <c r="O28" s="247"/>
      <c r="P28" s="247"/>
      <c r="Q28" s="248"/>
      <c r="R28" s="277">
        <f ca="1">R25+R26</f>
        <v>0</v>
      </c>
    </row>
    <row r="29" spans="2:18" ht="12.75" customHeight="1" x14ac:dyDescent="0.2">
      <c r="B29" s="279"/>
      <c r="C29" s="267"/>
      <c r="D29" s="267"/>
      <c r="E29" s="247"/>
      <c r="F29" s="281"/>
      <c r="G29" s="247"/>
      <c r="H29" s="247"/>
      <c r="I29" s="247"/>
      <c r="J29" s="247"/>
      <c r="K29" s="247"/>
      <c r="L29" s="247"/>
      <c r="M29" s="247"/>
      <c r="N29" s="247"/>
      <c r="O29" s="247"/>
      <c r="P29" s="247"/>
      <c r="Q29" s="248"/>
      <c r="R29" s="251"/>
    </row>
    <row r="30" spans="2:18" ht="12.75" customHeight="1" thickBot="1" x14ac:dyDescent="0.25">
      <c r="B30" s="969" t="s">
        <v>221</v>
      </c>
      <c r="C30" s="969"/>
      <c r="D30" s="969"/>
      <c r="E30" s="247"/>
      <c r="F30" s="281"/>
      <c r="G30" s="247"/>
      <c r="H30" s="247"/>
      <c r="I30" s="247"/>
      <c r="J30" s="247"/>
      <c r="K30" s="247"/>
      <c r="L30" s="247"/>
      <c r="M30" s="247"/>
      <c r="N30" s="247"/>
      <c r="O30" s="247"/>
      <c r="P30" s="247"/>
      <c r="Q30" s="248"/>
      <c r="R30" s="251"/>
    </row>
    <row r="31" spans="2:18" ht="12.75" customHeight="1" thickBot="1" x14ac:dyDescent="0.25">
      <c r="B31" s="967" t="s">
        <v>138</v>
      </c>
      <c r="C31" s="967"/>
      <c r="D31" s="967"/>
      <c r="E31" s="247"/>
      <c r="F31" s="492">
        <v>0</v>
      </c>
      <c r="G31" s="247"/>
      <c r="H31" s="247"/>
      <c r="I31" s="247"/>
      <c r="J31" s="247"/>
      <c r="K31" s="247"/>
      <c r="L31" s="247"/>
      <c r="M31" s="494">
        <v>0</v>
      </c>
      <c r="N31" s="247"/>
      <c r="O31" s="247"/>
      <c r="P31" s="965" t="s">
        <v>8</v>
      </c>
      <c r="Q31" s="966"/>
      <c r="R31" s="284">
        <f>Parametri_MaggiorazioneSottotettiCC</f>
        <v>0.2</v>
      </c>
    </row>
    <row r="32" spans="2:18" ht="12.75" customHeight="1" thickBot="1" x14ac:dyDescent="0.25">
      <c r="B32" s="975" t="s">
        <v>139</v>
      </c>
      <c r="C32" s="975"/>
      <c r="D32" s="975"/>
      <c r="E32" s="247"/>
      <c r="F32" s="492">
        <v>0</v>
      </c>
      <c r="G32" s="247"/>
      <c r="H32" s="247"/>
      <c r="I32" s="247"/>
      <c r="J32" s="247"/>
      <c r="K32" s="247"/>
      <c r="L32" s="247"/>
      <c r="M32" s="494">
        <v>0</v>
      </c>
      <c r="N32" s="247"/>
      <c r="O32" s="247"/>
      <c r="P32" s="247"/>
      <c r="Q32" s="248"/>
      <c r="R32" s="251"/>
    </row>
    <row r="33" spans="2:18" ht="12.75" customHeight="1" thickBot="1" x14ac:dyDescent="0.25">
      <c r="B33" s="285"/>
      <c r="C33" s="251"/>
      <c r="D33" s="251"/>
      <c r="E33" s="247"/>
      <c r="F33" s="281"/>
      <c r="G33" s="247"/>
      <c r="H33" s="247"/>
      <c r="I33" s="247"/>
      <c r="J33" s="247"/>
      <c r="K33" s="247"/>
      <c r="L33" s="247"/>
      <c r="M33" s="247"/>
      <c r="N33" s="247"/>
      <c r="O33" s="247"/>
      <c r="P33" s="247"/>
      <c r="Q33" s="248"/>
      <c r="R33" s="251"/>
    </row>
    <row r="34" spans="2:18" ht="12.75" customHeight="1" thickBot="1" x14ac:dyDescent="0.25">
      <c r="B34" s="973" t="s">
        <v>222</v>
      </c>
      <c r="C34" s="973"/>
      <c r="D34" s="973"/>
      <c r="E34" s="974"/>
      <c r="F34" s="378">
        <f ca="1">IF(EdiliziaConvenzionata="No",F28-F31-F32,"0")</f>
        <v>0</v>
      </c>
      <c r="G34" s="247"/>
      <c r="H34" s="247"/>
      <c r="I34" s="247"/>
      <c r="J34" s="247"/>
      <c r="K34" s="247"/>
      <c r="L34" s="247"/>
      <c r="M34" s="378">
        <f ca="1">IF(EdiliziaConvenzionata="No",M28-M31-M32,"0")</f>
        <v>0</v>
      </c>
      <c r="N34" s="247"/>
      <c r="O34" s="247"/>
      <c r="P34" s="247"/>
      <c r="Q34" s="248"/>
      <c r="R34" s="378">
        <f ca="1">IF(EdiliziaConvenzionata="No",(R28*R31)+R28,"0")</f>
        <v>0</v>
      </c>
    </row>
    <row r="35" spans="2:18" s="286" customFormat="1" ht="12.75" customHeight="1" thickBot="1" x14ac:dyDescent="0.25"/>
    <row r="36" spans="2:18" s="377" customFormat="1" ht="15" customHeight="1" thickBot="1" x14ac:dyDescent="0.3">
      <c r="B36" s="963" t="s">
        <v>105</v>
      </c>
      <c r="C36" s="963"/>
      <c r="D36" s="963"/>
      <c r="E36" s="964"/>
      <c r="F36" s="970">
        <f ca="1">CostoCost_NuovaEdif_Dovuto+CostoCost_RistrAmpl_Dovuto+DettContCostoCost_Sottot_Dovuto</f>
        <v>0</v>
      </c>
      <c r="G36" s="971"/>
      <c r="H36" s="971"/>
      <c r="I36" s="971"/>
      <c r="J36" s="971"/>
      <c r="K36" s="971"/>
      <c r="L36" s="971"/>
      <c r="M36" s="971"/>
      <c r="N36" s="971"/>
      <c r="O36" s="971"/>
      <c r="P36" s="971"/>
      <c r="Q36" s="971"/>
      <c r="R36" s="972"/>
    </row>
    <row r="37" spans="2:18" ht="12.75" customHeight="1" x14ac:dyDescent="0.2"/>
    <row r="38" spans="2:18" ht="15" hidden="1" customHeight="1" x14ac:dyDescent="0.2"/>
    <row r="39" spans="2:18" ht="15" hidden="1" customHeight="1" x14ac:dyDescent="0.2"/>
    <row r="40" spans="2:18" ht="15" hidden="1" customHeight="1" x14ac:dyDescent="0.2"/>
    <row r="41" spans="2:18" ht="15" hidden="1" customHeight="1" x14ac:dyDescent="0.2"/>
    <row r="42" spans="2:18" ht="15" hidden="1" customHeight="1" x14ac:dyDescent="0.2"/>
    <row r="43" spans="2:18" ht="15" hidden="1" customHeight="1" x14ac:dyDescent="0.2">
      <c r="F43" s="287"/>
    </row>
    <row r="44" spans="2:18" ht="15" hidden="1" customHeight="1" x14ac:dyDescent="0.2"/>
    <row r="45" spans="2:18" ht="15" hidden="1" customHeight="1" x14ac:dyDescent="0.2"/>
    <row r="46" spans="2:18" ht="15" hidden="1" customHeight="1" x14ac:dyDescent="0.2"/>
    <row r="47" spans="2:18" ht="15" hidden="1" customHeight="1" x14ac:dyDescent="0.2"/>
    <row r="48" spans="2:18" ht="15" hidden="1" customHeight="1" x14ac:dyDescent="0.2"/>
    <row r="49" ht="15" hidden="1" customHeight="1" x14ac:dyDescent="0.2"/>
    <row r="50" ht="14.25" hidden="1" customHeight="1" x14ac:dyDescent="0.2"/>
    <row r="51" ht="15" hidden="1" customHeight="1" x14ac:dyDescent="0.2"/>
    <row r="52" ht="15" hidden="1" customHeight="1" x14ac:dyDescent="0.2"/>
    <row r="53" ht="15" hidden="1" customHeight="1" x14ac:dyDescent="0.2"/>
    <row r="54" ht="15" hidden="1" customHeight="1" x14ac:dyDescent="0.2"/>
    <row r="55" ht="15" hidden="1" customHeight="1" x14ac:dyDescent="0.2"/>
    <row r="56" ht="15" hidden="1" customHeight="1" x14ac:dyDescent="0.2"/>
    <row r="57" ht="15" hidden="1" customHeight="1" x14ac:dyDescent="0.2"/>
    <row r="58" ht="15" hidden="1" customHeight="1" x14ac:dyDescent="0.2"/>
    <row r="59" ht="15" hidden="1" customHeight="1" x14ac:dyDescent="0.2"/>
    <row r="60" ht="15" hidden="1" customHeight="1" x14ac:dyDescent="0.2"/>
    <row r="61" ht="15" hidden="1" customHeight="1" x14ac:dyDescent="0.2"/>
    <row r="62" ht="15" hidden="1" customHeight="1" x14ac:dyDescent="0.2"/>
    <row r="63" ht="15" hidden="1" customHeight="1" x14ac:dyDescent="0.2"/>
    <row r="64" ht="15" hidden="1" customHeight="1" x14ac:dyDescent="0.2"/>
    <row r="65" ht="15" hidden="1" customHeight="1" x14ac:dyDescent="0.2"/>
    <row r="66" ht="15" hidden="1" customHeight="1" x14ac:dyDescent="0.2"/>
    <row r="67" ht="15" hidden="1" customHeight="1" x14ac:dyDescent="0.2"/>
    <row r="68" ht="15" hidden="1" customHeight="1" x14ac:dyDescent="0.2"/>
    <row r="69" ht="15" hidden="1" customHeight="1" x14ac:dyDescent="0.2"/>
    <row r="70" ht="15" hidden="1" customHeight="1" x14ac:dyDescent="0.2"/>
    <row r="71" ht="15" hidden="1" customHeight="1" x14ac:dyDescent="0.2"/>
    <row r="72" ht="15" hidden="1" customHeight="1" x14ac:dyDescent="0.2"/>
    <row r="73" ht="15" hidden="1" customHeight="1" x14ac:dyDescent="0.2"/>
    <row r="74" ht="15" hidden="1" customHeight="1" x14ac:dyDescent="0.2"/>
    <row r="75" ht="15" hidden="1" customHeight="1" x14ac:dyDescent="0.2"/>
    <row r="76" ht="15" hidden="1" customHeight="1" x14ac:dyDescent="0.2"/>
    <row r="77" ht="15" hidden="1" customHeight="1" x14ac:dyDescent="0.2"/>
    <row r="78" ht="15" hidden="1" customHeight="1" x14ac:dyDescent="0.2"/>
    <row r="79" ht="15" hidden="1" customHeight="1" x14ac:dyDescent="0.2"/>
    <row r="80" ht="15" hidden="1" customHeight="1" x14ac:dyDescent="0.2"/>
    <row r="81" ht="15" hidden="1" customHeight="1" x14ac:dyDescent="0.2"/>
    <row r="82" ht="15" hidden="1" customHeight="1" x14ac:dyDescent="0.2"/>
    <row r="83" ht="11.25" hidden="1" customHeight="1" x14ac:dyDescent="0.2"/>
    <row r="84" ht="11.25" hidden="1" customHeight="1" x14ac:dyDescent="0.2"/>
  </sheetData>
  <sheetProtection password="83CC" sheet="1" objects="1" scenarios="1" formatColumns="0" formatRows="0" insertRows="0"/>
  <mergeCells count="53">
    <mergeCell ref="B21:E21"/>
    <mergeCell ref="C13:E13"/>
    <mergeCell ref="S7:S8"/>
    <mergeCell ref="B30:D30"/>
    <mergeCell ref="B31:D31"/>
    <mergeCell ref="J13:L13"/>
    <mergeCell ref="J14:L14"/>
    <mergeCell ref="J15:L15"/>
    <mergeCell ref="C14:E14"/>
    <mergeCell ref="C15:E15"/>
    <mergeCell ref="J11:L11"/>
    <mergeCell ref="C11:E11"/>
    <mergeCell ref="C12:E12"/>
    <mergeCell ref="C10:F10"/>
    <mergeCell ref="J10:M10"/>
    <mergeCell ref="J12:L12"/>
    <mergeCell ref="C17:E17"/>
    <mergeCell ref="J17:L17"/>
    <mergeCell ref="O17:Q17"/>
    <mergeCell ref="B19:E19"/>
    <mergeCell ref="B20:E20"/>
    <mergeCell ref="B36:E36"/>
    <mergeCell ref="P31:Q31"/>
    <mergeCell ref="B22:E22"/>
    <mergeCell ref="B24:D24"/>
    <mergeCell ref="B25:D25"/>
    <mergeCell ref="B26:D26"/>
    <mergeCell ref="B27:D27"/>
    <mergeCell ref="B28:D28"/>
    <mergeCell ref="F36:R36"/>
    <mergeCell ref="B34:E34"/>
    <mergeCell ref="B32:D32"/>
    <mergeCell ref="C2:F2"/>
    <mergeCell ref="J2:M2"/>
    <mergeCell ref="O2:R2"/>
    <mergeCell ref="J3:M3"/>
    <mergeCell ref="C3:F3"/>
    <mergeCell ref="O3:R3"/>
    <mergeCell ref="O8:Q8"/>
    <mergeCell ref="C8:E8"/>
    <mergeCell ref="C4:E4"/>
    <mergeCell ref="O4:Q4"/>
    <mergeCell ref="O5:Q5"/>
    <mergeCell ref="O6:Q6"/>
    <mergeCell ref="O7:Q7"/>
    <mergeCell ref="C7:E7"/>
    <mergeCell ref="J4:L4"/>
    <mergeCell ref="J5:L5"/>
    <mergeCell ref="C5:E5"/>
    <mergeCell ref="C6:E6"/>
    <mergeCell ref="J6:L6"/>
    <mergeCell ref="J7:L7"/>
    <mergeCell ref="J8:L8"/>
  </mergeCells>
  <conditionalFormatting sqref="F4:F5 F8 F11:F12 F15 F31:F32">
    <cfRule type="expression" dxfId="2" priority="4" stopIfTrue="1">
      <formula>$O$10=FALSE</formula>
    </cfRule>
  </conditionalFormatting>
  <conditionalFormatting sqref="M4:M5 M8 M11:M12 M15 M31:M32">
    <cfRule type="expression" dxfId="1" priority="2" stopIfTrue="1">
      <formula>$O$11=FALSE</formula>
    </cfRule>
  </conditionalFormatting>
  <conditionalFormatting sqref="R4:R5 R8">
    <cfRule type="expression" dxfId="0" priority="3" stopIfTrue="1">
      <formula>$O$12=FALSE</formula>
    </cfRule>
  </conditionalFormatting>
  <hyperlinks>
    <hyperlink ref="S7:S8" location="'Procedura guidata'!A1" display="Torna alla procedura guidata!" xr:uid="{00000000-0004-0000-0600-000000000000}"/>
  </hyperlinks>
  <printOptions horizontalCentered="1"/>
  <pageMargins left="0.15748031496062992" right="0.15748031496062992" top="0.27559055118110237" bottom="0.27559055118110237" header="0.27559055118110237" footer="0.51181102362204722"/>
  <pageSetup paperSize="9" scale="94"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66"/>
    <pageSetUpPr fitToPage="1"/>
  </sheetPr>
  <dimension ref="A1:AB53"/>
  <sheetViews>
    <sheetView showGridLines="0" showZeros="0" workbookViewId="0"/>
  </sheetViews>
  <sheetFormatPr defaultColWidth="0" defaultRowHeight="12.75" customHeight="1" zeroHeight="1" x14ac:dyDescent="0.2"/>
  <cols>
    <col min="1" max="1" width="5.7109375" style="250" customWidth="1"/>
    <col min="2" max="2" width="9.5703125" style="250" customWidth="1"/>
    <col min="3" max="3" width="6.7109375" style="250" customWidth="1"/>
    <col min="4" max="5" width="10.7109375" style="250" customWidth="1"/>
    <col min="6" max="6" width="1.42578125" style="250" hidden="1" customWidth="1"/>
    <col min="7" max="7" width="5.42578125" style="250" hidden="1" customWidth="1"/>
    <col min="8" max="8" width="10.7109375" style="250" customWidth="1"/>
    <col min="9" max="9" width="5.7109375" style="250" customWidth="1"/>
    <col min="10" max="10" width="10.7109375" style="250" customWidth="1"/>
    <col min="11" max="11" width="6.7109375" style="250" customWidth="1"/>
    <col min="12" max="12" width="9" style="250" customWidth="1"/>
    <col min="13" max="13" width="3.7109375" style="250" customWidth="1"/>
    <col min="14" max="14" width="16.7109375" style="250" customWidth="1"/>
    <col min="15" max="16" width="5.7109375" style="250" customWidth="1"/>
    <col min="17" max="17" width="18.7109375" style="250" customWidth="1"/>
    <col min="18" max="18" width="6.28515625" style="250" hidden="1" customWidth="1"/>
    <col min="19" max="19" width="13.42578125" style="250" hidden="1" customWidth="1"/>
    <col min="20" max="20" width="4.42578125" style="250" hidden="1" customWidth="1"/>
    <col min="21" max="21" width="3.7109375" style="250" hidden="1" customWidth="1"/>
    <col min="22" max="22" width="8.42578125" style="250" hidden="1" customWidth="1"/>
    <col min="23" max="23" width="6.7109375" style="250" hidden="1" customWidth="1"/>
    <col min="24" max="24" width="9.42578125" style="250" hidden="1" customWidth="1"/>
    <col min="25" max="25" width="4.7109375" style="250" hidden="1" customWidth="1"/>
    <col min="26" max="26" width="3.5703125" style="250" hidden="1" customWidth="1"/>
    <col min="27" max="27" width="12.42578125" style="250" hidden="1" customWidth="1"/>
    <col min="28" max="28" width="14.28515625" style="250" hidden="1" customWidth="1"/>
    <col min="29" max="16384" width="9.140625" style="250" hidden="1"/>
  </cols>
  <sheetData>
    <row r="1" spans="1:17" s="377" customFormat="1" ht="15" customHeight="1" thickBot="1" x14ac:dyDescent="0.25">
      <c r="A1" s="440"/>
      <c r="B1" s="1005" t="s">
        <v>218</v>
      </c>
      <c r="C1" s="1005"/>
      <c r="D1" s="1005"/>
      <c r="E1" s="1005"/>
      <c r="F1" s="1005"/>
      <c r="G1" s="1005"/>
      <c r="H1" s="1005"/>
      <c r="I1" s="1005"/>
      <c r="J1" s="1005"/>
      <c r="K1" s="1005"/>
      <c r="L1" s="1005"/>
      <c r="M1" s="1005"/>
      <c r="N1" s="1005"/>
      <c r="O1" s="1005"/>
      <c r="P1" s="1005"/>
      <c r="Q1" s="1005"/>
    </row>
    <row r="2" spans="1:17" ht="12.75" customHeight="1" thickBot="1" x14ac:dyDescent="0.25">
      <c r="A2" s="305"/>
      <c r="B2" s="1037" t="s">
        <v>108</v>
      </c>
      <c r="C2" s="1038"/>
      <c r="D2" s="1012" t="s">
        <v>164</v>
      </c>
      <c r="E2" s="1013"/>
      <c r="F2" s="1013"/>
      <c r="G2" s="1013"/>
      <c r="H2" s="1014"/>
      <c r="I2" s="251"/>
      <c r="J2" s="251"/>
      <c r="K2" s="251"/>
      <c r="L2" s="251"/>
      <c r="M2" s="251"/>
      <c r="N2" s="251"/>
      <c r="O2" s="251"/>
      <c r="P2" s="251"/>
      <c r="Q2" s="248"/>
    </row>
    <row r="3" spans="1:17" ht="12.75" customHeight="1" thickBot="1" x14ac:dyDescent="0.25">
      <c r="A3" s="248"/>
      <c r="B3" s="1037" t="s">
        <v>125</v>
      </c>
      <c r="C3" s="1038"/>
      <c r="D3" s="1012" t="s">
        <v>280</v>
      </c>
      <c r="E3" s="1013"/>
      <c r="F3" s="1013"/>
      <c r="G3" s="1013"/>
      <c r="H3" s="1014"/>
      <c r="I3" s="251"/>
      <c r="J3" s="251"/>
      <c r="K3" s="251"/>
      <c r="L3" s="251"/>
      <c r="M3" s="251"/>
      <c r="N3" s="251"/>
      <c r="O3" s="251"/>
      <c r="P3" s="251"/>
      <c r="Q3" s="248"/>
    </row>
    <row r="4" spans="1:17" ht="12.75" customHeight="1" thickBot="1" x14ac:dyDescent="0.25">
      <c r="A4" s="248"/>
      <c r="B4" s="371" t="s">
        <v>21</v>
      </c>
      <c r="C4" s="267"/>
      <c r="D4" s="248"/>
      <c r="E4" s="248"/>
      <c r="F4" s="425" t="s">
        <v>22</v>
      </c>
      <c r="G4" s="248"/>
      <c r="H4" s="248"/>
      <c r="I4" s="248"/>
      <c r="J4" s="248"/>
      <c r="K4" s="248"/>
      <c r="L4" s="248"/>
      <c r="M4" s="248"/>
      <c r="N4" s="248"/>
      <c r="O4" s="248"/>
      <c r="P4" s="248"/>
      <c r="Q4" s="248"/>
    </row>
    <row r="5" spans="1:17" ht="12.75" customHeight="1" x14ac:dyDescent="0.2">
      <c r="A5" s="248"/>
      <c r="B5" s="920" t="s">
        <v>23</v>
      </c>
      <c r="C5" s="922"/>
      <c r="D5" s="293" t="s">
        <v>112</v>
      </c>
      <c r="E5" s="293" t="s">
        <v>111</v>
      </c>
      <c r="F5" s="293" t="s">
        <v>24</v>
      </c>
      <c r="G5" s="321"/>
      <c r="H5" s="292" t="s">
        <v>25</v>
      </c>
      <c r="I5" s="293" t="s">
        <v>26</v>
      </c>
      <c r="J5" s="296" t="s">
        <v>27</v>
      </c>
      <c r="K5" s="248"/>
      <c r="L5" s="248"/>
      <c r="M5" s="251"/>
      <c r="N5" s="251"/>
      <c r="O5" s="251"/>
      <c r="P5" s="251"/>
      <c r="Q5" s="248"/>
    </row>
    <row r="6" spans="1:17" ht="12.75" customHeight="1" thickBot="1" x14ac:dyDescent="0.25">
      <c r="A6" s="248"/>
      <c r="B6" s="936" t="s">
        <v>212</v>
      </c>
      <c r="C6" s="937"/>
      <c r="D6" s="481"/>
      <c r="E6" s="483"/>
      <c r="F6" s="298"/>
      <c r="G6" s="299"/>
      <c r="H6" s="300">
        <f>IF(E6&gt;0,E6/$E$11,0)</f>
        <v>0</v>
      </c>
      <c r="I6" s="301" t="s">
        <v>28</v>
      </c>
      <c r="J6" s="302">
        <f>H6*I6</f>
        <v>0</v>
      </c>
      <c r="K6" s="248"/>
      <c r="L6" s="248"/>
      <c r="M6" s="251"/>
      <c r="N6" s="251"/>
      <c r="O6" s="251"/>
      <c r="P6" s="251"/>
      <c r="Q6" s="923" t="s">
        <v>269</v>
      </c>
    </row>
    <row r="7" spans="1:17" ht="12.75" customHeight="1" x14ac:dyDescent="0.2">
      <c r="A7" s="248"/>
      <c r="B7" s="936" t="s">
        <v>213</v>
      </c>
      <c r="C7" s="937"/>
      <c r="D7" s="481"/>
      <c r="E7" s="483"/>
      <c r="F7" s="298"/>
      <c r="G7" s="299"/>
      <c r="H7" s="300">
        <f>IF(E7&gt;0,E7/$E$11,0)</f>
        <v>0</v>
      </c>
      <c r="I7" s="303">
        <v>5</v>
      </c>
      <c r="J7" s="302">
        <f>H7*I7</f>
        <v>0</v>
      </c>
      <c r="K7" s="248"/>
      <c r="L7" s="304"/>
      <c r="M7" s="248"/>
      <c r="N7" s="248"/>
      <c r="O7" s="1016" t="s">
        <v>5</v>
      </c>
      <c r="P7" s="1007" t="s">
        <v>0</v>
      </c>
      <c r="Q7" s="923"/>
    </row>
    <row r="8" spans="1:17" ht="12.75" customHeight="1" x14ac:dyDescent="0.2">
      <c r="A8" s="248"/>
      <c r="B8" s="936" t="s">
        <v>29</v>
      </c>
      <c r="C8" s="937"/>
      <c r="D8" s="481"/>
      <c r="E8" s="483">
        <v>0</v>
      </c>
      <c r="F8" s="298"/>
      <c r="G8" s="299"/>
      <c r="H8" s="300">
        <f>IF(E8&gt;0,E8/$E$11,0)</f>
        <v>0</v>
      </c>
      <c r="I8" s="303">
        <v>15</v>
      </c>
      <c r="J8" s="302">
        <f>H8*I8</f>
        <v>0</v>
      </c>
      <c r="K8" s="248"/>
      <c r="L8" s="248"/>
      <c r="M8" s="248"/>
      <c r="N8" s="248"/>
      <c r="O8" s="1017"/>
      <c r="P8" s="1008"/>
    </row>
    <row r="9" spans="1:17" ht="12.75" customHeight="1" x14ac:dyDescent="0.2">
      <c r="A9" s="248"/>
      <c r="B9" s="936" t="s">
        <v>30</v>
      </c>
      <c r="C9" s="937"/>
      <c r="D9" s="481"/>
      <c r="E9" s="483"/>
      <c r="F9" s="298"/>
      <c r="G9" s="299"/>
      <c r="H9" s="300">
        <f>IF(E9&gt;0,E9/$E$11,0)</f>
        <v>0</v>
      </c>
      <c r="I9" s="303">
        <v>30</v>
      </c>
      <c r="J9" s="302">
        <f>H9*I9</f>
        <v>0</v>
      </c>
      <c r="K9" s="248"/>
      <c r="L9" s="248"/>
      <c r="M9" s="1033" t="s">
        <v>271</v>
      </c>
      <c r="N9" s="1034"/>
      <c r="O9" s="1017"/>
      <c r="P9" s="1008"/>
    </row>
    <row r="10" spans="1:17" ht="12.75" customHeight="1" thickBot="1" x14ac:dyDescent="0.25">
      <c r="A10" s="248"/>
      <c r="B10" s="946" t="s">
        <v>31</v>
      </c>
      <c r="C10" s="947"/>
      <c r="D10" s="482">
        <v>0</v>
      </c>
      <c r="E10" s="484">
        <v>0</v>
      </c>
      <c r="F10" s="307"/>
      <c r="G10" s="308"/>
      <c r="H10" s="309">
        <f>IF(E10&gt;0,E10/$E$11,0)</f>
        <v>0</v>
      </c>
      <c r="I10" s="310">
        <v>50</v>
      </c>
      <c r="J10" s="311">
        <f>H10*I10</f>
        <v>0</v>
      </c>
      <c r="K10" s="248"/>
      <c r="L10" s="248"/>
      <c r="M10" s="1033"/>
      <c r="N10" s="1034"/>
      <c r="O10" s="1017"/>
      <c r="P10" s="1008"/>
      <c r="Q10" s="249"/>
    </row>
    <row r="11" spans="1:17" ht="12.75" customHeight="1" thickBot="1" x14ac:dyDescent="0.25">
      <c r="A11" s="248"/>
      <c r="B11" s="248"/>
      <c r="C11" s="248"/>
      <c r="D11" s="276" t="s">
        <v>32</v>
      </c>
      <c r="E11" s="313">
        <f>SUM(E6:E10)</f>
        <v>0</v>
      </c>
      <c r="F11" s="382"/>
      <c r="G11" s="383"/>
      <c r="H11" s="248" t="s">
        <v>33</v>
      </c>
      <c r="I11" s="248"/>
      <c r="J11" s="249" t="s">
        <v>34</v>
      </c>
      <c r="K11" s="317" t="str">
        <f>IF(SUM(J6:J10)&gt;0,SUM(J6:J10),"0")</f>
        <v>0</v>
      </c>
      <c r="L11" s="248"/>
      <c r="M11" s="1035"/>
      <c r="N11" s="1036"/>
      <c r="O11" s="1017"/>
      <c r="P11" s="1008"/>
      <c r="Q11" s="249"/>
    </row>
    <row r="12" spans="1:17" ht="12.75" customHeight="1" x14ac:dyDescent="0.2">
      <c r="A12" s="248"/>
      <c r="B12" s="248"/>
      <c r="C12" s="248"/>
      <c r="D12" s="248"/>
      <c r="E12" s="384"/>
      <c r="F12" s="426"/>
      <c r="G12" s="426"/>
      <c r="H12" s="248"/>
      <c r="I12" s="248"/>
      <c r="J12" s="248"/>
      <c r="K12" s="248"/>
      <c r="L12" s="251"/>
      <c r="M12" s="983" t="s">
        <v>90</v>
      </c>
      <c r="N12" s="980" t="s">
        <v>89</v>
      </c>
      <c r="O12" s="1017"/>
      <c r="P12" s="1008"/>
      <c r="Q12" s="249"/>
    </row>
    <row r="13" spans="1:17" ht="12.75" customHeight="1" thickBot="1" x14ac:dyDescent="0.25">
      <c r="A13" s="248"/>
      <c r="B13" s="371" t="s">
        <v>35</v>
      </c>
      <c r="C13" s="267"/>
      <c r="D13" s="248"/>
      <c r="E13" s="384"/>
      <c r="F13" s="427"/>
      <c r="G13" s="426"/>
      <c r="H13" s="371" t="s">
        <v>36</v>
      </c>
      <c r="I13" s="248"/>
      <c r="J13" s="248"/>
      <c r="K13" s="251"/>
      <c r="L13" s="251"/>
      <c r="M13" s="984"/>
      <c r="N13" s="981"/>
      <c r="O13" s="1017"/>
      <c r="P13" s="1008"/>
      <c r="Q13" s="249"/>
    </row>
    <row r="14" spans="1:17" ht="12.75" customHeight="1" x14ac:dyDescent="0.2">
      <c r="A14" s="248"/>
      <c r="B14" s="920" t="s">
        <v>216</v>
      </c>
      <c r="C14" s="921"/>
      <c r="D14" s="922"/>
      <c r="E14" s="322" t="s">
        <v>37</v>
      </c>
      <c r="F14" s="385"/>
      <c r="G14" s="386"/>
      <c r="H14" s="293" t="s">
        <v>38</v>
      </c>
      <c r="I14" s="293" t="s">
        <v>18</v>
      </c>
      <c r="J14" s="296" t="s">
        <v>27</v>
      </c>
      <c r="K14" s="251"/>
      <c r="L14" s="251"/>
      <c r="M14" s="984"/>
      <c r="N14" s="982"/>
      <c r="O14" s="1018"/>
      <c r="P14" s="1009"/>
      <c r="Q14" s="248"/>
    </row>
    <row r="15" spans="1:17" ht="12.75" customHeight="1" x14ac:dyDescent="0.2">
      <c r="A15" s="248"/>
      <c r="B15" s="952" t="s">
        <v>209</v>
      </c>
      <c r="C15" s="953"/>
      <c r="D15" s="1019"/>
      <c r="E15" s="1001"/>
      <c r="F15" s="325">
        <v>0</v>
      </c>
      <c r="G15" s="326"/>
      <c r="H15" s="327" t="s">
        <v>113</v>
      </c>
      <c r="I15" s="328" t="str">
        <f>IF($H$20&lt;=50,"X",)</f>
        <v>X</v>
      </c>
      <c r="J15" s="329" t="s">
        <v>158</v>
      </c>
      <c r="K15" s="251"/>
      <c r="L15" s="251"/>
      <c r="M15" s="984"/>
      <c r="N15" s="330" t="s">
        <v>39</v>
      </c>
      <c r="O15" s="331">
        <v>0.06</v>
      </c>
      <c r="P15" s="332">
        <v>0.05</v>
      </c>
      <c r="Q15" s="248"/>
    </row>
    <row r="16" spans="1:17" ht="12.75" customHeight="1" x14ac:dyDescent="0.2">
      <c r="A16" s="248"/>
      <c r="B16" s="954"/>
      <c r="C16" s="955"/>
      <c r="D16" s="1020"/>
      <c r="E16" s="1002"/>
      <c r="F16" s="333"/>
      <c r="G16" s="326"/>
      <c r="H16" s="327" t="s">
        <v>40</v>
      </c>
      <c r="I16" s="328">
        <f>IF(AND($H$20&lt;=75,$H$20&gt;50.001),"X",)</f>
        <v>0</v>
      </c>
      <c r="J16" s="334">
        <v>10</v>
      </c>
      <c r="K16" s="251"/>
      <c r="L16" s="251"/>
      <c r="M16" s="984"/>
      <c r="N16" s="253" t="s">
        <v>41</v>
      </c>
      <c r="O16" s="335">
        <v>0.08</v>
      </c>
      <c r="P16" s="332">
        <v>0.06</v>
      </c>
      <c r="Q16" s="356"/>
    </row>
    <row r="17" spans="1:17" ht="12.75" customHeight="1" x14ac:dyDescent="0.2">
      <c r="A17" s="248"/>
      <c r="B17" s="936" t="s">
        <v>42</v>
      </c>
      <c r="C17" s="938"/>
      <c r="D17" s="937"/>
      <c r="E17" s="387"/>
      <c r="F17" s="333">
        <v>0</v>
      </c>
      <c r="G17" s="326"/>
      <c r="H17" s="327" t="s">
        <v>43</v>
      </c>
      <c r="I17" s="328">
        <f>IF(AND($H$20&lt;=100,$H$20&gt;75.1),"X",)</f>
        <v>0</v>
      </c>
      <c r="J17" s="334">
        <v>20</v>
      </c>
      <c r="K17" s="251"/>
      <c r="L17" s="251"/>
      <c r="M17" s="984"/>
      <c r="N17" s="338" t="s">
        <v>44</v>
      </c>
      <c r="O17" s="339">
        <v>0.18</v>
      </c>
      <c r="P17" s="340">
        <v>0.1</v>
      </c>
      <c r="Q17" s="356"/>
    </row>
    <row r="18" spans="1:17" ht="12.75" customHeight="1" thickBot="1" x14ac:dyDescent="0.25">
      <c r="A18" s="248"/>
      <c r="B18" s="936" t="s">
        <v>45</v>
      </c>
      <c r="C18" s="938"/>
      <c r="D18" s="937"/>
      <c r="E18" s="485"/>
      <c r="F18" s="333">
        <v>0</v>
      </c>
      <c r="G18" s="326"/>
      <c r="H18" s="341" t="s">
        <v>46</v>
      </c>
      <c r="I18" s="342">
        <f>IF($H$20&gt;100.001,"X",)</f>
        <v>0</v>
      </c>
      <c r="J18" s="343">
        <v>30</v>
      </c>
      <c r="K18" s="248"/>
      <c r="L18" s="248"/>
      <c r="M18" s="984"/>
      <c r="N18" s="253" t="s">
        <v>47</v>
      </c>
      <c r="O18" s="339">
        <v>0.08</v>
      </c>
      <c r="P18" s="340">
        <v>0.08</v>
      </c>
      <c r="Q18" s="356"/>
    </row>
    <row r="19" spans="1:17" ht="12.75" customHeight="1" thickBot="1" x14ac:dyDescent="0.25">
      <c r="A19" s="248"/>
      <c r="B19" s="946" t="s">
        <v>48</v>
      </c>
      <c r="C19" s="950"/>
      <c r="D19" s="947"/>
      <c r="E19" s="486"/>
      <c r="F19" s="344">
        <v>0</v>
      </c>
      <c r="G19" s="345"/>
      <c r="H19" s="248" t="s">
        <v>49</v>
      </c>
      <c r="I19" s="248"/>
      <c r="J19" s="249" t="s">
        <v>50</v>
      </c>
      <c r="K19" s="346" t="str">
        <f>VLOOKUP("X",$I$15:$J$18,2,FALSE)</f>
        <v>-</v>
      </c>
      <c r="L19" s="248"/>
      <c r="M19" s="984"/>
      <c r="N19" s="253" t="s">
        <v>51</v>
      </c>
      <c r="O19" s="339">
        <v>0.08</v>
      </c>
      <c r="P19" s="340">
        <v>0.08</v>
      </c>
      <c r="Q19" s="356"/>
    </row>
    <row r="20" spans="1:17" ht="12.75" customHeight="1" thickBot="1" x14ac:dyDescent="0.25">
      <c r="A20" s="248"/>
      <c r="B20" s="248"/>
      <c r="C20" s="248"/>
      <c r="D20" s="276" t="s">
        <v>52</v>
      </c>
      <c r="E20" s="313">
        <f>SUM(E15:E19)</f>
        <v>0</v>
      </c>
      <c r="F20" s="347">
        <f>SUM(F15:F19)</f>
        <v>0</v>
      </c>
      <c r="G20" s="348"/>
      <c r="H20" s="349">
        <f>IF(ISERROR(E20/E11*100),,(E20/E11*100))</f>
        <v>0</v>
      </c>
      <c r="I20" s="248" t="s">
        <v>20</v>
      </c>
      <c r="J20" s="248"/>
      <c r="K20" s="248"/>
      <c r="L20" s="248"/>
      <c r="M20" s="985"/>
      <c r="N20" s="350" t="s">
        <v>53</v>
      </c>
      <c r="O20" s="351">
        <v>0.08</v>
      </c>
      <c r="P20" s="352">
        <v>0.08</v>
      </c>
      <c r="Q20" s="249"/>
    </row>
    <row r="21" spans="1:17" ht="12.75" customHeight="1" x14ac:dyDescent="0.2">
      <c r="A21" s="248"/>
      <c r="B21" s="248"/>
      <c r="C21" s="248"/>
      <c r="D21" s="248"/>
      <c r="E21" s="248"/>
      <c r="F21" s="248"/>
      <c r="G21" s="248"/>
      <c r="H21" s="248"/>
      <c r="I21" s="248"/>
      <c r="J21" s="248"/>
      <c r="K21" s="248"/>
      <c r="L21" s="248"/>
      <c r="M21" s="248"/>
      <c r="N21" s="248"/>
      <c r="O21" s="248"/>
      <c r="P21" s="248"/>
      <c r="Q21" s="249"/>
    </row>
    <row r="22" spans="1:17" ht="12.75" customHeight="1" thickBot="1" x14ac:dyDescent="0.25">
      <c r="A22" s="248"/>
      <c r="B22" s="248"/>
      <c r="C22" s="248"/>
      <c r="D22" s="248"/>
      <c r="E22" s="248"/>
      <c r="F22" s="353"/>
      <c r="G22" s="248"/>
      <c r="H22" s="371" t="s">
        <v>54</v>
      </c>
      <c r="I22" s="248"/>
      <c r="J22" s="248"/>
      <c r="K22" s="248"/>
      <c r="L22" s="248"/>
      <c r="M22" s="248"/>
      <c r="N22" s="248"/>
      <c r="O22" s="248"/>
      <c r="P22" s="248"/>
      <c r="Q22" s="249"/>
    </row>
    <row r="23" spans="1:17" ht="12.75" customHeight="1" thickBot="1" x14ac:dyDescent="0.25">
      <c r="A23" s="248"/>
      <c r="B23" s="1021" t="s">
        <v>55</v>
      </c>
      <c r="C23" s="1022"/>
      <c r="D23" s="1023"/>
      <c r="E23" s="389"/>
      <c r="F23" s="323"/>
      <c r="G23" s="390"/>
      <c r="H23" s="391" t="s">
        <v>56</v>
      </c>
      <c r="I23" s="293" t="s">
        <v>18</v>
      </c>
      <c r="J23" s="392" t="s">
        <v>27</v>
      </c>
      <c r="K23" s="251"/>
      <c r="L23" s="1015" t="s">
        <v>58</v>
      </c>
      <c r="M23" s="1015"/>
      <c r="N23" s="1015"/>
      <c r="O23" s="1015"/>
      <c r="P23" s="1015"/>
      <c r="Q23" s="249"/>
    </row>
    <row r="24" spans="1:17" ht="12.75" customHeight="1" x14ac:dyDescent="0.2">
      <c r="A24" s="248"/>
      <c r="B24" s="936" t="s">
        <v>114</v>
      </c>
      <c r="C24" s="938"/>
      <c r="D24" s="937"/>
      <c r="E24" s="565">
        <f>E11</f>
        <v>0</v>
      </c>
      <c r="F24" s="393">
        <f>F11</f>
        <v>0</v>
      </c>
      <c r="G24" s="394"/>
      <c r="H24" s="327" t="s">
        <v>57</v>
      </c>
      <c r="I24" s="358" t="str">
        <f>IF(COUNTIF($L$24:$L$28,"x")=0,"X",)</f>
        <v>X</v>
      </c>
      <c r="J24" s="359" t="s">
        <v>158</v>
      </c>
      <c r="K24" s="251"/>
      <c r="L24" s="566" t="s">
        <v>59</v>
      </c>
      <c r="M24" s="1010" t="s">
        <v>60</v>
      </c>
      <c r="N24" s="943"/>
      <c r="O24" s="943"/>
      <c r="P24" s="1011"/>
      <c r="Q24" s="356"/>
    </row>
    <row r="25" spans="1:17" ht="12.75" customHeight="1" x14ac:dyDescent="0.2">
      <c r="A25" s="248"/>
      <c r="B25" s="936" t="s">
        <v>115</v>
      </c>
      <c r="C25" s="938"/>
      <c r="D25" s="937"/>
      <c r="E25" s="565">
        <f>E20</f>
        <v>0</v>
      </c>
      <c r="F25" s="393">
        <f>F20</f>
        <v>0</v>
      </c>
      <c r="G25" s="394"/>
      <c r="H25" s="327">
        <v>1</v>
      </c>
      <c r="I25" s="358">
        <f>IF(COUNTIF($L$24:$L$28,"x")=1,"X",)</f>
        <v>0</v>
      </c>
      <c r="J25" s="334">
        <v>10</v>
      </c>
      <c r="K25" s="251"/>
      <c r="L25" s="488" t="s">
        <v>59</v>
      </c>
      <c r="M25" s="986" t="s">
        <v>61</v>
      </c>
      <c r="N25" s="938"/>
      <c r="O25" s="938"/>
      <c r="P25" s="987"/>
      <c r="Q25" s="248"/>
    </row>
    <row r="26" spans="1:17" ht="12.75" customHeight="1" x14ac:dyDescent="0.2">
      <c r="A26" s="248"/>
      <c r="B26" s="936" t="s">
        <v>116</v>
      </c>
      <c r="C26" s="938"/>
      <c r="D26" s="937"/>
      <c r="E26" s="395">
        <f>60%*E25</f>
        <v>0</v>
      </c>
      <c r="F26" s="393">
        <f>F20*0.6</f>
        <v>0</v>
      </c>
      <c r="G26" s="394"/>
      <c r="H26" s="327">
        <v>2</v>
      </c>
      <c r="I26" s="358">
        <f>IF(COUNTIF($L$24:$L$28,"x")=2,"X",)</f>
        <v>0</v>
      </c>
      <c r="J26" s="334">
        <v>20</v>
      </c>
      <c r="K26" s="251"/>
      <c r="L26" s="488" t="s">
        <v>59</v>
      </c>
      <c r="M26" s="988" t="s">
        <v>62</v>
      </c>
      <c r="N26" s="989"/>
      <c r="O26" s="989"/>
      <c r="P26" s="990"/>
      <c r="Q26" s="248"/>
    </row>
    <row r="27" spans="1:17" ht="12.75" customHeight="1" thickBot="1" x14ac:dyDescent="0.25">
      <c r="A27" s="248"/>
      <c r="B27" s="936" t="s">
        <v>117</v>
      </c>
      <c r="C27" s="938"/>
      <c r="D27" s="937"/>
      <c r="E27" s="396">
        <f>SUM(E24,E26)</f>
        <v>0</v>
      </c>
      <c r="F27" s="393"/>
      <c r="G27" s="397"/>
      <c r="H27" s="327">
        <v>3</v>
      </c>
      <c r="I27" s="358">
        <f>IF(COUNTIF($L$24:$L$28,"x")=3,"X",)</f>
        <v>0</v>
      </c>
      <c r="J27" s="334">
        <v>30</v>
      </c>
      <c r="K27" s="248"/>
      <c r="L27" s="488" t="s">
        <v>59</v>
      </c>
      <c r="M27" s="986" t="s">
        <v>306</v>
      </c>
      <c r="N27" s="938"/>
      <c r="O27" s="938"/>
      <c r="P27" s="987"/>
      <c r="Q27" s="248"/>
    </row>
    <row r="28" spans="1:17" ht="12.75" customHeight="1" thickBot="1" x14ac:dyDescent="0.25">
      <c r="A28" s="248"/>
      <c r="B28" s="946"/>
      <c r="C28" s="950"/>
      <c r="D28" s="947"/>
      <c r="E28" s="429"/>
      <c r="F28" s="264">
        <f>F24+F26</f>
        <v>0</v>
      </c>
      <c r="G28" s="394"/>
      <c r="H28" s="327">
        <v>4</v>
      </c>
      <c r="I28" s="358">
        <f>IF(COUNTIF($L$24:$L$28,"x")=4,"X",)</f>
        <v>0</v>
      </c>
      <c r="J28" s="334">
        <v>40</v>
      </c>
      <c r="K28" s="248"/>
      <c r="L28" s="489" t="s">
        <v>59</v>
      </c>
      <c r="M28" s="991" t="s">
        <v>63</v>
      </c>
      <c r="N28" s="950"/>
      <c r="O28" s="950"/>
      <c r="P28" s="992"/>
      <c r="Q28" s="248"/>
    </row>
    <row r="29" spans="1:17" ht="12.75" customHeight="1" thickBot="1" x14ac:dyDescent="0.25">
      <c r="A29" s="248"/>
      <c r="B29" s="248"/>
      <c r="C29" s="248"/>
      <c r="D29" s="248"/>
      <c r="E29" s="260"/>
      <c r="F29" s="383"/>
      <c r="G29" s="383"/>
      <c r="H29" s="399">
        <v>5</v>
      </c>
      <c r="I29" s="364">
        <f>IF(COUNTIF($L$24:$L$28,"x")=5,"X",)</f>
        <v>0</v>
      </c>
      <c r="J29" s="343">
        <v>50</v>
      </c>
      <c r="K29" s="248"/>
      <c r="Q29" s="248"/>
    </row>
    <row r="30" spans="1:17" ht="12.75" customHeight="1" thickBot="1" x14ac:dyDescent="0.25">
      <c r="A30" s="248"/>
      <c r="B30" s="248"/>
      <c r="C30" s="248"/>
      <c r="D30" s="248"/>
      <c r="E30" s="248"/>
      <c r="F30" s="400"/>
      <c r="G30" s="262"/>
      <c r="H30" s="248"/>
      <c r="I30" s="248"/>
      <c r="J30" s="249" t="s">
        <v>64</v>
      </c>
      <c r="K30" s="366" t="str">
        <f>VLOOKUP("X",I24:J29,2,FALSE)</f>
        <v>-</v>
      </c>
      <c r="L30" s="367"/>
      <c r="M30" s="248"/>
      <c r="N30" s="248"/>
      <c r="O30" s="248"/>
      <c r="P30" s="251"/>
      <c r="Q30" s="356"/>
    </row>
    <row r="31" spans="1:17" ht="12.75" customHeight="1" thickBot="1" x14ac:dyDescent="0.25">
      <c r="A31" s="248"/>
      <c r="B31" s="1021" t="s">
        <v>65</v>
      </c>
      <c r="C31" s="1022"/>
      <c r="D31" s="1022"/>
      <c r="E31" s="1030"/>
      <c r="F31" s="401"/>
      <c r="G31" s="262"/>
      <c r="H31" s="248"/>
      <c r="I31" s="248"/>
      <c r="J31" s="248"/>
      <c r="K31" s="249" t="s">
        <v>2</v>
      </c>
      <c r="L31" s="248" t="s">
        <v>66</v>
      </c>
      <c r="M31" s="1006" t="s">
        <v>215</v>
      </c>
      <c r="N31" s="1006"/>
      <c r="O31" s="248"/>
      <c r="P31" s="251"/>
      <c r="Q31" s="356"/>
    </row>
    <row r="32" spans="1:17" ht="12.75" customHeight="1" thickBot="1" x14ac:dyDescent="0.25">
      <c r="A32" s="248"/>
      <c r="B32" s="936" t="s">
        <v>118</v>
      </c>
      <c r="C32" s="938"/>
      <c r="D32" s="937"/>
      <c r="E32" s="495"/>
      <c r="F32" s="261"/>
      <c r="G32" s="262"/>
      <c r="H32" s="248"/>
      <c r="I32" s="1028" t="s">
        <v>67</v>
      </c>
      <c r="J32" s="1029"/>
      <c r="K32" s="428">
        <f>SUM(K30,K19,K11)</f>
        <v>0</v>
      </c>
      <c r="L32" s="402" t="str">
        <f>IF(CCSF_DettContCostoCost_SommaIncrementi=0,"I",IF(ISERROR(MATCH(CCSF_DettContCostoCost_SommaIncrementi,Parametri_MinClassi,1))=TRUE,INDEX(Parametri_Classi,1,1),INDEX(Parametri_Classi,MATCH(CCSF_DettContCostoCost_SommaIncrementi,Parametri_MinClassi,1),1)))</f>
        <v>I</v>
      </c>
      <c r="M32" s="993">
        <f>IF(CCSF_DettContCostoCost_SommaIncrementi=0,0,IF(ISERROR(MATCH(CCSF_DettContCostoCost_SommaIncrementi,Parametri_MinClassi,1))=TRUE,INDEX(Parametri_Classi,1,4),INDEX(Parametri_Classi,MATCH(CCSF_DettContCostoCost_SommaIncrementi,Parametri_MinClassi,1),4)))</f>
        <v>0</v>
      </c>
      <c r="N32" s="994"/>
      <c r="O32" s="248"/>
      <c r="P32" s="251"/>
      <c r="Q32" s="356"/>
    </row>
    <row r="33" spans="1:17" ht="12.75" customHeight="1" thickBot="1" x14ac:dyDescent="0.25">
      <c r="A33" s="248"/>
      <c r="B33" s="936" t="s">
        <v>119</v>
      </c>
      <c r="C33" s="938"/>
      <c r="D33" s="937"/>
      <c r="E33" s="495"/>
      <c r="F33" s="261"/>
      <c r="G33" s="262"/>
      <c r="H33" s="248"/>
      <c r="I33" s="248"/>
      <c r="J33" s="248"/>
      <c r="K33" s="248"/>
      <c r="L33" s="248"/>
      <c r="M33" s="248"/>
      <c r="N33" s="248"/>
      <c r="O33" s="248"/>
      <c r="P33" s="251"/>
      <c r="Q33" s="248"/>
    </row>
    <row r="34" spans="1:17" ht="12.75" customHeight="1" thickBot="1" x14ac:dyDescent="0.25">
      <c r="A34" s="248"/>
      <c r="B34" s="936" t="s">
        <v>120</v>
      </c>
      <c r="C34" s="938"/>
      <c r="D34" s="937"/>
      <c r="E34" s="430">
        <f>E33*0.6</f>
        <v>0</v>
      </c>
      <c r="F34" s="261">
        <f>F33*0.6</f>
        <v>0</v>
      </c>
      <c r="G34" s="262"/>
      <c r="H34" s="248"/>
      <c r="I34" s="1028" t="s">
        <v>68</v>
      </c>
      <c r="J34" s="1039"/>
      <c r="K34" s="1029"/>
      <c r="L34" s="403">
        <f>IF(Cc_Modalitacalcolo="Calcolo costo costruzione",E27+E35,0)</f>
        <v>0</v>
      </c>
      <c r="M34" s="248" t="s">
        <v>69</v>
      </c>
      <c r="N34" s="248"/>
      <c r="O34" s="248"/>
      <c r="P34" s="251"/>
      <c r="Q34" s="248"/>
    </row>
    <row r="35" spans="1:17" ht="12.75" customHeight="1" thickBot="1" x14ac:dyDescent="0.25">
      <c r="A35" s="248"/>
      <c r="B35" s="946" t="s">
        <v>121</v>
      </c>
      <c r="C35" s="950"/>
      <c r="D35" s="947"/>
      <c r="E35" s="431">
        <f>E32+E34</f>
        <v>0</v>
      </c>
      <c r="F35" s="263">
        <v>0</v>
      </c>
      <c r="G35" s="262"/>
      <c r="H35" s="248"/>
      <c r="I35" s="248" t="s">
        <v>97</v>
      </c>
      <c r="J35" s="248"/>
      <c r="K35" s="248"/>
      <c r="L35" s="404">
        <f>L34</f>
        <v>0</v>
      </c>
      <c r="M35" s="248"/>
      <c r="N35" s="248"/>
      <c r="O35" s="248"/>
      <c r="P35" s="248"/>
      <c r="Q35" s="248"/>
    </row>
    <row r="36" spans="1:17" ht="12.75" customHeight="1" thickBot="1" x14ac:dyDescent="0.25">
      <c r="A36" s="248"/>
      <c r="B36" s="248"/>
      <c r="C36" s="247"/>
      <c r="D36" s="247"/>
      <c r="E36" s="247"/>
      <c r="F36" s="264">
        <f>F32+F34</f>
        <v>0</v>
      </c>
      <c r="G36" s="262"/>
      <c r="H36" s="248"/>
      <c r="I36" s="248" t="s">
        <v>76</v>
      </c>
      <c r="J36" s="248"/>
      <c r="K36" s="248"/>
      <c r="L36" s="248"/>
      <c r="M36" s="248"/>
      <c r="N36" s="248"/>
      <c r="O36" s="248"/>
      <c r="P36" s="248"/>
      <c r="Q36" s="248"/>
    </row>
    <row r="37" spans="1:17" ht="12.75" customHeight="1" x14ac:dyDescent="0.2">
      <c r="A37" s="248"/>
      <c r="B37" s="248"/>
      <c r="C37" s="432"/>
      <c r="D37" s="248"/>
      <c r="E37" s="248"/>
      <c r="F37" s="265"/>
      <c r="G37" s="262"/>
      <c r="H37" s="248"/>
      <c r="I37" s="1024" t="s">
        <v>129</v>
      </c>
      <c r="J37" s="1025"/>
      <c r="K37" s="1010" t="s">
        <v>70</v>
      </c>
      <c r="L37" s="1040"/>
      <c r="M37" s="388" t="s">
        <v>224</v>
      </c>
      <c r="N37" s="1003">
        <v>0</v>
      </c>
      <c r="O37" s="1004"/>
      <c r="P37" s="248"/>
      <c r="Q37" s="248"/>
    </row>
    <row r="38" spans="1:17" ht="12.75" customHeight="1" thickBot="1" x14ac:dyDescent="0.25">
      <c r="A38" s="248"/>
      <c r="B38" s="248"/>
      <c r="C38" s="432"/>
      <c r="D38" s="248"/>
      <c r="E38" s="248"/>
      <c r="F38" s="265"/>
      <c r="G38" s="262"/>
      <c r="H38" s="248"/>
      <c r="I38" s="1026"/>
      <c r="J38" s="1027"/>
      <c r="K38" s="991" t="s">
        <v>71</v>
      </c>
      <c r="L38" s="947"/>
      <c r="M38" s="406" t="s">
        <v>225</v>
      </c>
      <c r="N38" s="997"/>
      <c r="O38" s="998"/>
      <c r="P38" s="248"/>
      <c r="Q38" s="248"/>
    </row>
    <row r="39" spans="1:17" ht="12.75" customHeight="1" thickBot="1" x14ac:dyDescent="0.25">
      <c r="B39" s="969" t="s">
        <v>219</v>
      </c>
      <c r="C39" s="969"/>
      <c r="D39" s="969"/>
      <c r="E39" s="969"/>
      <c r="F39" s="969"/>
      <c r="G39" s="969"/>
      <c r="H39" s="969"/>
      <c r="I39" s="267"/>
      <c r="J39" s="267"/>
      <c r="K39" s="248"/>
      <c r="L39" s="248"/>
      <c r="M39" s="248"/>
      <c r="N39" s="271"/>
      <c r="O39" s="271"/>
      <c r="P39" s="248"/>
      <c r="Q39" s="248"/>
    </row>
    <row r="40" spans="1:17" ht="12.75" customHeight="1" thickBot="1" x14ac:dyDescent="0.25">
      <c r="B40" s="967" t="s">
        <v>252</v>
      </c>
      <c r="C40" s="967"/>
      <c r="D40" s="967"/>
      <c r="E40" s="967"/>
      <c r="F40" s="278"/>
      <c r="G40" s="262"/>
      <c r="H40" s="267"/>
      <c r="I40" s="267"/>
      <c r="J40" s="372"/>
      <c r="K40" s="372"/>
      <c r="L40" s="372"/>
      <c r="M40" s="276"/>
      <c r="N40" s="978">
        <f>IF(DettaglioCostoCostruz_TipoIntervento="Nuova costruzione",CostoBase_NuovaEdif,CostoBase_Ristrutturaz)</f>
        <v>491.37</v>
      </c>
      <c r="O40" s="979"/>
      <c r="P40" s="248"/>
      <c r="Q40" s="248"/>
    </row>
    <row r="41" spans="1:17" ht="12.75" customHeight="1" thickBot="1" x14ac:dyDescent="0.25">
      <c r="B41" s="967" t="s">
        <v>253</v>
      </c>
      <c r="C41" s="967"/>
      <c r="D41" s="967"/>
      <c r="E41" s="967"/>
      <c r="F41" s="278"/>
      <c r="G41" s="262"/>
      <c r="H41" s="373"/>
      <c r="I41" s="373"/>
      <c r="J41" s="373"/>
      <c r="K41" s="373"/>
      <c r="L41" s="373"/>
      <c r="M41" s="276"/>
      <c r="N41" s="978">
        <f>N40*(1+M32/100)</f>
        <v>491.37</v>
      </c>
      <c r="O41" s="979"/>
      <c r="P41" s="248"/>
      <c r="Q41" s="248"/>
    </row>
    <row r="42" spans="1:17" ht="12.75" customHeight="1" thickBot="1" x14ac:dyDescent="0.25">
      <c r="B42" s="967" t="s">
        <v>131</v>
      </c>
      <c r="C42" s="967"/>
      <c r="D42" s="967"/>
      <c r="E42" s="967"/>
      <c r="F42" s="278"/>
      <c r="G42" s="262"/>
      <c r="H42" s="373"/>
      <c r="I42" s="373"/>
      <c r="J42" s="373"/>
      <c r="K42" s="373"/>
      <c r="L42" s="373"/>
      <c r="M42" s="276"/>
      <c r="N42" s="978">
        <f>L35*N41</f>
        <v>0</v>
      </c>
      <c r="O42" s="979"/>
      <c r="P42" s="248"/>
      <c r="Q42" s="248"/>
    </row>
    <row r="43" spans="1:17" ht="12.75" customHeight="1" thickBot="1" x14ac:dyDescent="0.25">
      <c r="B43" s="969" t="s">
        <v>220</v>
      </c>
      <c r="C43" s="969"/>
      <c r="D43" s="969"/>
      <c r="E43" s="969"/>
      <c r="F43" s="278"/>
      <c r="G43" s="262"/>
      <c r="H43" s="267"/>
      <c r="I43" s="267"/>
      <c r="J43" s="267"/>
      <c r="K43" s="249" t="s">
        <v>140</v>
      </c>
      <c r="L43" s="267"/>
      <c r="M43" s="267"/>
      <c r="N43" s="433"/>
      <c r="O43" s="434"/>
      <c r="P43" s="248"/>
      <c r="Q43" s="248"/>
    </row>
    <row r="44" spans="1:17" ht="12.75" customHeight="1" thickBot="1" x14ac:dyDescent="0.25">
      <c r="B44" s="967" t="s">
        <v>134</v>
      </c>
      <c r="C44" s="967"/>
      <c r="D44" s="967"/>
      <c r="E44" s="967"/>
      <c r="F44" s="278"/>
      <c r="G44" s="262"/>
      <c r="H44" s="275" t="s">
        <v>72</v>
      </c>
      <c r="I44" s="267"/>
      <c r="J44" s="267"/>
      <c r="K44" s="423">
        <f>IF(ISERROR(MATCH(CCSF_DettContCostoCost_SommaIncrementi,Parametri_MinClassi,1))=TRUE,INDEX(Parametri_Classi,1,IF(DettaglioCostoCostruz_TipoIntervento="Ristrutturazione",6,5)),INDEX(Parametri_Classi,MATCH(CCSF_DettContCostoCost_SommaIncrementi,Parametri_MinClassi,1),IF(DettaglioCostoCostruz_TipoIntervento="Ristrutturazione",6,5)))</f>
        <v>6</v>
      </c>
      <c r="L44" s="435" t="s">
        <v>33</v>
      </c>
      <c r="M44" s="276"/>
      <c r="N44" s="978">
        <f>N42*K44/100</f>
        <v>0</v>
      </c>
      <c r="O44" s="979"/>
      <c r="P44" s="248"/>
      <c r="Q44" s="248" t="s">
        <v>73</v>
      </c>
    </row>
    <row r="45" spans="1:17" ht="12.75" customHeight="1" thickBot="1" x14ac:dyDescent="0.25">
      <c r="B45" s="967" t="s">
        <v>135</v>
      </c>
      <c r="C45" s="967"/>
      <c r="D45" s="967"/>
      <c r="E45" s="967"/>
      <c r="F45" s="278"/>
      <c r="G45" s="262"/>
      <c r="H45" s="275" t="s">
        <v>74</v>
      </c>
      <c r="I45" s="267"/>
      <c r="J45" s="267"/>
      <c r="K45" s="423">
        <f>IF(ISERROR(MATCH(CCSF_DettContCostoCost_SommaIncrementi,Parametri_MinClassi,1))=TRUE,INDEX(Parametri_Classi,1,IF(DettaglioCostoCostruz_TipoIntervento="Ristrutturazione",6,5)),INDEX(Parametri_Classi,MATCH(CCSF_DettContCostoCost_SommaIncrementi,Parametri_MinClassi,1),IF(DettaglioCostoCostruz_TipoIntervento="Ristrutturazione",6,5)))</f>
        <v>6</v>
      </c>
      <c r="L45" s="436" t="s">
        <v>33</v>
      </c>
      <c r="M45" s="276"/>
      <c r="N45" s="978">
        <f>N37*K45/100</f>
        <v>0</v>
      </c>
      <c r="O45" s="979"/>
      <c r="P45" s="248"/>
      <c r="Q45" s="251"/>
    </row>
    <row r="46" spans="1:17" ht="12.75" customHeight="1" thickBot="1" x14ac:dyDescent="0.25">
      <c r="B46" s="967" t="s">
        <v>136</v>
      </c>
      <c r="C46" s="967"/>
      <c r="D46" s="967"/>
      <c r="E46" s="967"/>
      <c r="F46" s="278"/>
      <c r="G46" s="262"/>
      <c r="H46" s="275" t="s">
        <v>75</v>
      </c>
      <c r="I46" s="267"/>
      <c r="J46" s="267"/>
      <c r="K46" s="512">
        <f>IF(DettaglioCostoCostruz_TipoIntervento="Nuova costruzione",Parametri_Aliquota_terziario_nuova_costr,Parametri_Aliquota_terziario_ristrutt)</f>
        <v>0.1</v>
      </c>
      <c r="L46" s="436" t="s">
        <v>33</v>
      </c>
      <c r="M46" s="276"/>
      <c r="N46" s="978">
        <f>N38*K46</f>
        <v>0</v>
      </c>
      <c r="O46" s="979"/>
      <c r="P46" s="248"/>
      <c r="Q46" s="251"/>
    </row>
    <row r="47" spans="1:17" ht="12.75" customHeight="1" thickBot="1" x14ac:dyDescent="0.25">
      <c r="B47" s="967" t="s">
        <v>137</v>
      </c>
      <c r="C47" s="967"/>
      <c r="D47" s="967"/>
      <c r="E47" s="967"/>
      <c r="F47" s="262"/>
      <c r="G47" s="262"/>
      <c r="H47" s="372"/>
      <c r="I47" s="372"/>
      <c r="J47" s="372"/>
      <c r="K47" s="372"/>
      <c r="L47" s="372" t="s">
        <v>33</v>
      </c>
      <c r="M47" s="276"/>
      <c r="N47" s="978">
        <f>N44+N45+N46</f>
        <v>0</v>
      </c>
      <c r="O47" s="979"/>
      <c r="P47" s="248"/>
      <c r="Q47" s="248"/>
    </row>
    <row r="48" spans="1:17" ht="12.75" customHeight="1" thickBot="1" x14ac:dyDescent="0.25">
      <c r="B48" s="969" t="s">
        <v>221</v>
      </c>
      <c r="C48" s="969"/>
      <c r="D48" s="969"/>
      <c r="E48" s="969"/>
      <c r="F48" s="262"/>
      <c r="G48" s="262"/>
      <c r="H48" s="267"/>
      <c r="I48" s="267"/>
      <c r="J48" s="267"/>
      <c r="K48" s="267"/>
      <c r="L48" s="267"/>
      <c r="M48" s="267"/>
      <c r="N48" s="434"/>
      <c r="O48" s="434"/>
      <c r="P48" s="248"/>
      <c r="Q48" s="251"/>
    </row>
    <row r="49" spans="1:17" ht="12.75" customHeight="1" thickBot="1" x14ac:dyDescent="0.25">
      <c r="B49" s="967" t="s">
        <v>138</v>
      </c>
      <c r="C49" s="967"/>
      <c r="D49" s="967"/>
      <c r="E49" s="967"/>
      <c r="F49" s="262"/>
      <c r="G49" s="262"/>
      <c r="H49" s="372"/>
      <c r="I49" s="372"/>
      <c r="J49" s="372"/>
      <c r="K49" s="372"/>
      <c r="L49" s="372"/>
      <c r="M49" s="276"/>
      <c r="N49" s="999"/>
      <c r="O49" s="1000"/>
      <c r="P49" s="248"/>
      <c r="Q49" s="251"/>
    </row>
    <row r="50" spans="1:17" ht="12.75" customHeight="1" thickBot="1" x14ac:dyDescent="0.25">
      <c r="B50" s="967" t="s">
        <v>139</v>
      </c>
      <c r="C50" s="967"/>
      <c r="D50" s="967"/>
      <c r="E50" s="967"/>
      <c r="F50" s="262"/>
      <c r="G50" s="262"/>
      <c r="H50" s="373"/>
      <c r="I50" s="373"/>
      <c r="J50" s="373"/>
      <c r="K50" s="373"/>
      <c r="L50" s="373"/>
      <c r="M50" s="276"/>
      <c r="N50" s="999"/>
      <c r="O50" s="1000"/>
      <c r="P50" s="248"/>
      <c r="Q50" s="251"/>
    </row>
    <row r="51" spans="1:17" ht="12.75" customHeight="1" thickBot="1" x14ac:dyDescent="0.25">
      <c r="C51" s="275"/>
      <c r="D51" s="275"/>
      <c r="E51" s="275"/>
      <c r="F51" s="417"/>
      <c r="G51" s="417"/>
      <c r="H51" s="251"/>
      <c r="I51" s="251"/>
      <c r="J51" s="251"/>
      <c r="K51" s="251"/>
      <c r="L51" s="251"/>
      <c r="M51" s="251"/>
      <c r="N51" s="251"/>
      <c r="O51" s="251"/>
      <c r="P51" s="248"/>
      <c r="Q51" s="251"/>
    </row>
    <row r="52" spans="1:17" s="377" customFormat="1" ht="15" customHeight="1" thickBot="1" x14ac:dyDescent="0.25">
      <c r="A52" s="437"/>
      <c r="B52" s="1031" t="s">
        <v>105</v>
      </c>
      <c r="C52" s="1031"/>
      <c r="D52" s="1031"/>
      <c r="E52" s="1031"/>
      <c r="F52" s="1031"/>
      <c r="G52" s="1031"/>
      <c r="H52" s="1031"/>
      <c r="I52" s="1031"/>
      <c r="J52" s="1031"/>
      <c r="K52" s="1031"/>
      <c r="L52" s="1031"/>
      <c r="M52" s="1032"/>
      <c r="N52" s="995">
        <f>N47-N49-N50</f>
        <v>0</v>
      </c>
      <c r="O52" s="996"/>
      <c r="P52" s="438"/>
      <c r="Q52" s="439"/>
    </row>
    <row r="53" spans="1:17" s="248" customFormat="1" ht="12.75" customHeight="1" x14ac:dyDescent="0.2">
      <c r="F53" s="269"/>
      <c r="G53" s="269"/>
      <c r="Q53" s="251"/>
    </row>
  </sheetData>
  <sheetProtection password="83CC" sheet="1" formatColumns="0" formatRows="0" insertRows="0"/>
  <mergeCells count="72">
    <mergeCell ref="B52:M52"/>
    <mergeCell ref="M9:N11"/>
    <mergeCell ref="B2:C2"/>
    <mergeCell ref="B3:C3"/>
    <mergeCell ref="I34:K34"/>
    <mergeCell ref="B45:E45"/>
    <mergeCell ref="B46:E46"/>
    <mergeCell ref="B47:E47"/>
    <mergeCell ref="B48:E48"/>
    <mergeCell ref="B49:E49"/>
    <mergeCell ref="B50:E50"/>
    <mergeCell ref="B39:H39"/>
    <mergeCell ref="B40:E40"/>
    <mergeCell ref="B41:E41"/>
    <mergeCell ref="B42:E42"/>
    <mergeCell ref="K37:L37"/>
    <mergeCell ref="K38:L38"/>
    <mergeCell ref="B28:D28"/>
    <mergeCell ref="B5:C5"/>
    <mergeCell ref="B14:D14"/>
    <mergeCell ref="B32:D32"/>
    <mergeCell ref="B33:D33"/>
    <mergeCell ref="B34:D34"/>
    <mergeCell ref="B31:E31"/>
    <mergeCell ref="B43:E43"/>
    <mergeCell ref="B44:E44"/>
    <mergeCell ref="B23:D23"/>
    <mergeCell ref="I37:J38"/>
    <mergeCell ref="B35:D35"/>
    <mergeCell ref="I32:J32"/>
    <mergeCell ref="B1:Q1"/>
    <mergeCell ref="M31:N31"/>
    <mergeCell ref="B8:C8"/>
    <mergeCell ref="B9:C9"/>
    <mergeCell ref="B17:D17"/>
    <mergeCell ref="B18:D18"/>
    <mergeCell ref="P7:P14"/>
    <mergeCell ref="B27:D27"/>
    <mergeCell ref="M24:P24"/>
    <mergeCell ref="D2:H2"/>
    <mergeCell ref="D3:H3"/>
    <mergeCell ref="L23:P23"/>
    <mergeCell ref="O7:O14"/>
    <mergeCell ref="Q6:Q7"/>
    <mergeCell ref="B15:D16"/>
    <mergeCell ref="N52:O52"/>
    <mergeCell ref="N38:O38"/>
    <mergeCell ref="N50:O50"/>
    <mergeCell ref="B6:C6"/>
    <mergeCell ref="B7:C7"/>
    <mergeCell ref="N49:O49"/>
    <mergeCell ref="E15:E16"/>
    <mergeCell ref="B19:D19"/>
    <mergeCell ref="B24:D24"/>
    <mergeCell ref="B25:D25"/>
    <mergeCell ref="N44:O44"/>
    <mergeCell ref="N45:O45"/>
    <mergeCell ref="N37:O37"/>
    <mergeCell ref="N42:O42"/>
    <mergeCell ref="B10:C10"/>
    <mergeCell ref="B26:D26"/>
    <mergeCell ref="N47:O47"/>
    <mergeCell ref="N12:N14"/>
    <mergeCell ref="N46:O46"/>
    <mergeCell ref="M12:M20"/>
    <mergeCell ref="N40:O40"/>
    <mergeCell ref="N41:O41"/>
    <mergeCell ref="M25:P25"/>
    <mergeCell ref="M26:P26"/>
    <mergeCell ref="M27:P27"/>
    <mergeCell ref="M28:P28"/>
    <mergeCell ref="M32:N32"/>
  </mergeCells>
  <dataValidations count="3">
    <dataValidation type="list" allowBlank="1" showInputMessage="1" showErrorMessage="1" sqref="D2" xr:uid="{00000000-0002-0000-0700-000000000000}">
      <formula1>"Nuova costruzione,Ristrutturazione"</formula1>
    </dataValidation>
    <dataValidation type="list" allowBlank="1" showInputMessage="1" showErrorMessage="1" sqref="D3:H3" xr:uid="{00000000-0002-0000-0700-000001000000}">
      <formula1>"Calcolo costo costruzione,Calcolo classe"</formula1>
    </dataValidation>
    <dataValidation type="list" allowBlank="1" showInputMessage="1" showErrorMessage="1" sqref="L24:L28" xr:uid="{00000000-0002-0000-0700-000002000000}">
      <formula1>opzioni</formula1>
    </dataValidation>
  </dataValidations>
  <hyperlinks>
    <hyperlink ref="Q6:Q7" location="'Procedura guidata'!A1" display="Torna alla procedura guidata!" xr:uid="{00000000-0004-0000-0700-000000000000}"/>
  </hyperlinks>
  <pageMargins left="0.23622047244094491" right="0.15748031496062992" top="0.27559055118110237" bottom="0.27559055118110237" header="0.27559055118110237" footer="0.51181102362204722"/>
  <pageSetup paperSize="9" scale="84" orientation="portrait"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oglio5">
    <tabColor rgb="FFFFFF66"/>
    <pageSetUpPr fitToPage="1"/>
  </sheetPr>
  <dimension ref="A1:AC53"/>
  <sheetViews>
    <sheetView showGridLines="0" showZeros="0" workbookViewId="0"/>
  </sheetViews>
  <sheetFormatPr defaultColWidth="0" defaultRowHeight="12.75" zeroHeight="1" x14ac:dyDescent="0.2"/>
  <cols>
    <col min="1" max="1" width="5.7109375" style="250" customWidth="1"/>
    <col min="2" max="2" width="9.5703125" style="250" customWidth="1"/>
    <col min="3" max="3" width="6.7109375" style="250" customWidth="1"/>
    <col min="4" max="5" width="10.7109375" style="250" customWidth="1"/>
    <col min="6" max="6" width="1.42578125" style="250" hidden="1" customWidth="1"/>
    <col min="7" max="7" width="5.42578125" style="250" hidden="1" customWidth="1"/>
    <col min="8" max="8" width="10.7109375" style="250" customWidth="1"/>
    <col min="9" max="9" width="5.7109375" style="250" customWidth="1"/>
    <col min="10" max="10" width="10.7109375" style="250" customWidth="1"/>
    <col min="11" max="11" width="6.7109375" style="306" customWidth="1"/>
    <col min="12" max="12" width="9" style="250" customWidth="1"/>
    <col min="13" max="13" width="3.7109375" style="250" customWidth="1"/>
    <col min="14" max="14" width="16.7109375" style="250" customWidth="1"/>
    <col min="15" max="16" width="5.7109375" style="250" customWidth="1"/>
    <col min="17" max="17" width="18.7109375" style="250" customWidth="1"/>
    <col min="18" max="18" width="6.28515625" style="250" hidden="1" customWidth="1"/>
    <col min="19" max="19" width="13.42578125" style="250" hidden="1" customWidth="1"/>
    <col min="20" max="20" width="4.42578125" style="250" hidden="1" customWidth="1"/>
    <col min="21" max="21" width="3.7109375" style="250" hidden="1" customWidth="1"/>
    <col min="22" max="22" width="8.42578125" style="250" hidden="1" customWidth="1"/>
    <col min="23" max="23" width="6.7109375" style="250" hidden="1" customWidth="1"/>
    <col min="24" max="24" width="9.42578125" style="250" hidden="1" customWidth="1"/>
    <col min="25" max="25" width="4.7109375" style="250" hidden="1" customWidth="1"/>
    <col min="26" max="26" width="3.5703125" style="250" hidden="1" customWidth="1"/>
    <col min="27" max="27" width="12.42578125" style="250" hidden="1" customWidth="1"/>
    <col min="28" max="29" width="14.28515625" style="250" hidden="1" customWidth="1"/>
    <col min="30" max="16384" width="9.140625" style="250" hidden="1"/>
  </cols>
  <sheetData>
    <row r="1" spans="2:17" ht="15" customHeight="1" thickBot="1" x14ac:dyDescent="0.25">
      <c r="B1" s="1048" t="s">
        <v>228</v>
      </c>
      <c r="C1" s="1048"/>
      <c r="D1" s="1048"/>
      <c r="E1" s="1048"/>
      <c r="F1" s="1048"/>
      <c r="G1" s="1048"/>
      <c r="H1" s="1048"/>
      <c r="I1" s="1048"/>
      <c r="J1" s="1048"/>
      <c r="K1" s="1048"/>
      <c r="L1" s="1048"/>
      <c r="M1" s="1048"/>
      <c r="N1" s="1048"/>
      <c r="O1" s="1048"/>
      <c r="P1" s="1048"/>
      <c r="Q1" s="288"/>
    </row>
    <row r="2" spans="2:17" ht="12.75" customHeight="1" thickBot="1" x14ac:dyDescent="0.25">
      <c r="B2" s="1037" t="s">
        <v>108</v>
      </c>
      <c r="C2" s="1038"/>
      <c r="D2" s="1049" t="s">
        <v>164</v>
      </c>
      <c r="E2" s="1050"/>
      <c r="F2" s="1050"/>
      <c r="G2" s="1050"/>
      <c r="H2" s="1051"/>
      <c r="I2" s="297"/>
      <c r="J2" s="297"/>
      <c r="K2" s="419"/>
      <c r="L2" s="297"/>
      <c r="M2" s="297"/>
      <c r="N2" s="297"/>
      <c r="O2" s="297"/>
      <c r="P2" s="297"/>
    </row>
    <row r="3" spans="2:17" ht="12.75" customHeight="1" thickBot="1" x14ac:dyDescent="0.25">
      <c r="B3" s="1037" t="s">
        <v>125</v>
      </c>
      <c r="C3" s="1038"/>
      <c r="D3" s="1049" t="s">
        <v>280</v>
      </c>
      <c r="E3" s="1050"/>
      <c r="F3" s="1050"/>
      <c r="G3" s="1050"/>
      <c r="H3" s="1051"/>
      <c r="I3" s="297"/>
      <c r="J3" s="297"/>
      <c r="K3" s="419"/>
      <c r="L3" s="297"/>
      <c r="M3" s="297"/>
      <c r="N3" s="297"/>
      <c r="O3" s="297"/>
      <c r="P3" s="297"/>
    </row>
    <row r="4" spans="2:17" ht="12.75" customHeight="1" thickBot="1" x14ac:dyDescent="0.25">
      <c r="B4" s="371" t="s">
        <v>21</v>
      </c>
      <c r="C4" s="267"/>
      <c r="D4" s="248"/>
      <c r="E4" s="248"/>
      <c r="F4" s="380" t="s">
        <v>22</v>
      </c>
      <c r="G4" s="269"/>
      <c r="H4" s="248"/>
      <c r="I4" s="248"/>
      <c r="J4" s="248"/>
      <c r="K4" s="249"/>
      <c r="L4" s="248"/>
      <c r="M4" s="248"/>
      <c r="N4" s="248"/>
      <c r="O4" s="248"/>
      <c r="P4" s="248"/>
    </row>
    <row r="5" spans="2:17" ht="12.75" customHeight="1" x14ac:dyDescent="0.2">
      <c r="B5" s="920" t="s">
        <v>23</v>
      </c>
      <c r="C5" s="922"/>
      <c r="D5" s="293" t="s">
        <v>112</v>
      </c>
      <c r="E5" s="293" t="s">
        <v>111</v>
      </c>
      <c r="F5" s="293" t="s">
        <v>24</v>
      </c>
      <c r="G5" s="321"/>
      <c r="H5" s="292" t="s">
        <v>25</v>
      </c>
      <c r="I5" s="293" t="s">
        <v>26</v>
      </c>
      <c r="J5" s="296" t="s">
        <v>27</v>
      </c>
      <c r="K5" s="249"/>
      <c r="L5" s="248"/>
      <c r="M5" s="251"/>
      <c r="N5" s="251"/>
      <c r="O5" s="251"/>
      <c r="P5" s="251"/>
    </row>
    <row r="6" spans="2:17" ht="12.75" customHeight="1" thickBot="1" x14ac:dyDescent="0.25">
      <c r="B6" s="936" t="s">
        <v>212</v>
      </c>
      <c r="C6" s="937"/>
      <c r="D6" s="481"/>
      <c r="E6" s="483"/>
      <c r="F6" s="298"/>
      <c r="G6" s="299"/>
      <c r="H6" s="300">
        <f>IF(E6&gt;0,E6/$E$11,0)</f>
        <v>0</v>
      </c>
      <c r="I6" s="301" t="s">
        <v>28</v>
      </c>
      <c r="J6" s="302">
        <f>H6*I6</f>
        <v>0</v>
      </c>
      <c r="K6" s="249"/>
      <c r="L6" s="248"/>
      <c r="M6" s="251"/>
      <c r="N6" s="251"/>
      <c r="O6" s="251"/>
      <c r="P6" s="251"/>
      <c r="Q6" s="923" t="s">
        <v>269</v>
      </c>
    </row>
    <row r="7" spans="2:17" ht="12.75" customHeight="1" x14ac:dyDescent="0.2">
      <c r="B7" s="936" t="s">
        <v>213</v>
      </c>
      <c r="C7" s="937"/>
      <c r="D7" s="481"/>
      <c r="E7" s="483">
        <v>0</v>
      </c>
      <c r="F7" s="298"/>
      <c r="G7" s="299"/>
      <c r="H7" s="300">
        <f>IF(E7&gt;0,E7/$E$11,0)</f>
        <v>0</v>
      </c>
      <c r="I7" s="303">
        <v>5</v>
      </c>
      <c r="J7" s="302">
        <f>H7*I7</f>
        <v>0</v>
      </c>
      <c r="K7" s="249"/>
      <c r="L7" s="304"/>
      <c r="M7" s="248"/>
      <c r="N7" s="248"/>
      <c r="O7" s="1016" t="s">
        <v>5</v>
      </c>
      <c r="P7" s="1007" t="s">
        <v>0</v>
      </c>
      <c r="Q7" s="923"/>
    </row>
    <row r="8" spans="2:17" ht="12.75" customHeight="1" x14ac:dyDescent="0.2">
      <c r="B8" s="936" t="s">
        <v>29</v>
      </c>
      <c r="C8" s="937"/>
      <c r="D8" s="481"/>
      <c r="E8" s="483"/>
      <c r="F8" s="298"/>
      <c r="G8" s="299"/>
      <c r="H8" s="300">
        <f>IF(E8&gt;0,E8/$E$11,0)</f>
        <v>0</v>
      </c>
      <c r="I8" s="303">
        <v>15</v>
      </c>
      <c r="J8" s="302">
        <f>H8*I8</f>
        <v>0</v>
      </c>
      <c r="K8" s="249"/>
      <c r="L8" s="248"/>
      <c r="M8" s="248"/>
      <c r="N8" s="248"/>
      <c r="O8" s="1017"/>
      <c r="P8" s="1008"/>
    </row>
    <row r="9" spans="2:17" ht="12.75" customHeight="1" x14ac:dyDescent="0.2">
      <c r="B9" s="936" t="s">
        <v>30</v>
      </c>
      <c r="C9" s="937"/>
      <c r="D9" s="481"/>
      <c r="E9" s="483"/>
      <c r="F9" s="298"/>
      <c r="G9" s="299"/>
      <c r="H9" s="300">
        <f>IF(E9&gt;0,E9/$E$11,0)</f>
        <v>0</v>
      </c>
      <c r="I9" s="303">
        <v>30</v>
      </c>
      <c r="J9" s="302">
        <f>H9*I9</f>
        <v>0</v>
      </c>
      <c r="K9" s="249"/>
      <c r="L9" s="248"/>
      <c r="M9" s="1033" t="s">
        <v>271</v>
      </c>
      <c r="N9" s="1034"/>
      <c r="O9" s="1017"/>
      <c r="P9" s="1008"/>
    </row>
    <row r="10" spans="2:17" ht="12.75" customHeight="1" thickBot="1" x14ac:dyDescent="0.25">
      <c r="B10" s="946" t="s">
        <v>31</v>
      </c>
      <c r="C10" s="947"/>
      <c r="D10" s="482"/>
      <c r="E10" s="484"/>
      <c r="F10" s="307"/>
      <c r="G10" s="308"/>
      <c r="H10" s="309">
        <f>IF(E10&gt;0,E10/$E$11,0)</f>
        <v>0</v>
      </c>
      <c r="I10" s="310">
        <v>50</v>
      </c>
      <c r="J10" s="311">
        <f>H10*I10</f>
        <v>0</v>
      </c>
      <c r="K10" s="249"/>
      <c r="L10" s="248"/>
      <c r="M10" s="1033"/>
      <c r="N10" s="1034"/>
      <c r="O10" s="1017"/>
      <c r="P10" s="1008"/>
      <c r="Q10" s="306"/>
    </row>
    <row r="11" spans="2:17" ht="12.75" customHeight="1" thickBot="1" x14ac:dyDescent="0.25">
      <c r="B11" s="248"/>
      <c r="C11" s="248"/>
      <c r="D11" s="276" t="s">
        <v>32</v>
      </c>
      <c r="E11" s="381">
        <f>SUM(E6:E10)</f>
        <v>0</v>
      </c>
      <c r="F11" s="382"/>
      <c r="G11" s="383"/>
      <c r="H11" s="248" t="s">
        <v>33</v>
      </c>
      <c r="I11" s="248"/>
      <c r="J11" s="249" t="s">
        <v>34</v>
      </c>
      <c r="K11" s="317" t="str">
        <f>IF(SUM(J6:J10)&gt;0,SUM(J6:J10),"0")</f>
        <v>0</v>
      </c>
      <c r="L11" s="248"/>
      <c r="M11" s="1035"/>
      <c r="N11" s="1036"/>
      <c r="O11" s="1017"/>
      <c r="P11" s="1008"/>
      <c r="Q11" s="306"/>
    </row>
    <row r="12" spans="2:17" ht="12.75" customHeight="1" x14ac:dyDescent="0.2">
      <c r="B12" s="248"/>
      <c r="C12" s="248"/>
      <c r="D12" s="248"/>
      <c r="E12" s="384"/>
      <c r="F12" s="384"/>
      <c r="G12" s="384"/>
      <c r="H12" s="248"/>
      <c r="I12" s="248"/>
      <c r="J12" s="248"/>
      <c r="K12" s="249"/>
      <c r="L12" s="251"/>
      <c r="M12" s="983" t="s">
        <v>90</v>
      </c>
      <c r="N12" s="980" t="s">
        <v>89</v>
      </c>
      <c r="O12" s="1017"/>
      <c r="P12" s="1008"/>
      <c r="Q12" s="306"/>
    </row>
    <row r="13" spans="2:17" ht="12.75" customHeight="1" thickBot="1" x14ac:dyDescent="0.25">
      <c r="B13" s="371" t="s">
        <v>35</v>
      </c>
      <c r="C13" s="267"/>
      <c r="D13" s="248"/>
      <c r="E13" s="384"/>
      <c r="F13" s="353"/>
      <c r="G13" s="384"/>
      <c r="H13" s="371" t="s">
        <v>36</v>
      </c>
      <c r="I13" s="248"/>
      <c r="J13" s="248"/>
      <c r="K13" s="420"/>
      <c r="L13" s="251"/>
      <c r="M13" s="984"/>
      <c r="N13" s="981"/>
      <c r="O13" s="1017"/>
      <c r="P13" s="1008"/>
      <c r="Q13" s="306"/>
    </row>
    <row r="14" spans="2:17" ht="12.75" customHeight="1" x14ac:dyDescent="0.2">
      <c r="B14" s="920" t="s">
        <v>216</v>
      </c>
      <c r="C14" s="921"/>
      <c r="D14" s="922"/>
      <c r="E14" s="322" t="s">
        <v>37</v>
      </c>
      <c r="F14" s="385"/>
      <c r="G14" s="386"/>
      <c r="H14" s="293" t="s">
        <v>38</v>
      </c>
      <c r="I14" s="293" t="s">
        <v>18</v>
      </c>
      <c r="J14" s="296" t="s">
        <v>27</v>
      </c>
      <c r="K14" s="420"/>
      <c r="L14" s="251"/>
      <c r="M14" s="984"/>
      <c r="N14" s="982"/>
      <c r="O14" s="1018"/>
      <c r="P14" s="1009"/>
    </row>
    <row r="15" spans="2:17" ht="12.75" customHeight="1" x14ac:dyDescent="0.2">
      <c r="B15" s="952" t="s">
        <v>209</v>
      </c>
      <c r="C15" s="953"/>
      <c r="D15" s="1019"/>
      <c r="E15" s="1001"/>
      <c r="F15" s="325">
        <v>0</v>
      </c>
      <c r="G15" s="326"/>
      <c r="H15" s="327" t="s">
        <v>113</v>
      </c>
      <c r="I15" s="328" t="str">
        <f>IF($H$20&lt;=50,"X",)</f>
        <v>X</v>
      </c>
      <c r="J15" s="329" t="s">
        <v>158</v>
      </c>
      <c r="K15" s="420"/>
      <c r="L15" s="251"/>
      <c r="M15" s="984"/>
      <c r="N15" s="330" t="s">
        <v>39</v>
      </c>
      <c r="O15" s="331">
        <v>0.06</v>
      </c>
      <c r="P15" s="332">
        <v>0.05</v>
      </c>
    </row>
    <row r="16" spans="2:17" ht="12.75" customHeight="1" x14ac:dyDescent="0.2">
      <c r="B16" s="954"/>
      <c r="C16" s="955"/>
      <c r="D16" s="1020"/>
      <c r="E16" s="1002"/>
      <c r="F16" s="333"/>
      <c r="G16" s="326"/>
      <c r="H16" s="327" t="s">
        <v>40</v>
      </c>
      <c r="I16" s="328">
        <f>IF(AND($H$20&lt;=75,$H$20&gt;50.001),"X",)</f>
        <v>0</v>
      </c>
      <c r="J16" s="334">
        <v>10</v>
      </c>
      <c r="K16" s="420"/>
      <c r="L16" s="251"/>
      <c r="M16" s="984"/>
      <c r="N16" s="253" t="s">
        <v>41</v>
      </c>
      <c r="O16" s="335">
        <v>0.08</v>
      </c>
      <c r="P16" s="332">
        <v>0.06</v>
      </c>
      <c r="Q16" s="336"/>
    </row>
    <row r="17" spans="2:17" ht="12.75" customHeight="1" x14ac:dyDescent="0.2">
      <c r="B17" s="936" t="s">
        <v>42</v>
      </c>
      <c r="C17" s="938"/>
      <c r="D17" s="937"/>
      <c r="E17" s="387"/>
      <c r="F17" s="333">
        <v>0</v>
      </c>
      <c r="G17" s="326"/>
      <c r="H17" s="327" t="s">
        <v>43</v>
      </c>
      <c r="I17" s="328">
        <f>IF(AND($H$20&lt;=100,$H$20&gt;75.1),"X",)</f>
        <v>0</v>
      </c>
      <c r="J17" s="334">
        <v>20</v>
      </c>
      <c r="K17" s="420"/>
      <c r="L17" s="251"/>
      <c r="M17" s="984"/>
      <c r="N17" s="338" t="s">
        <v>44</v>
      </c>
      <c r="O17" s="339">
        <v>0.18</v>
      </c>
      <c r="P17" s="340">
        <v>0.1</v>
      </c>
      <c r="Q17" s="336"/>
    </row>
    <row r="18" spans="2:17" ht="12.75" customHeight="1" thickBot="1" x14ac:dyDescent="0.25">
      <c r="B18" s="936" t="s">
        <v>45</v>
      </c>
      <c r="C18" s="938"/>
      <c r="D18" s="937"/>
      <c r="E18" s="485"/>
      <c r="F18" s="333">
        <v>0</v>
      </c>
      <c r="G18" s="326"/>
      <c r="H18" s="341" t="s">
        <v>46</v>
      </c>
      <c r="I18" s="342">
        <f>IF($H$20&gt;100.001,"X",)</f>
        <v>0</v>
      </c>
      <c r="J18" s="343">
        <v>30</v>
      </c>
      <c r="K18" s="249"/>
      <c r="L18" s="248"/>
      <c r="M18" s="984"/>
      <c r="N18" s="253" t="s">
        <v>47</v>
      </c>
      <c r="O18" s="339">
        <v>0.08</v>
      </c>
      <c r="P18" s="340">
        <v>0.08</v>
      </c>
      <c r="Q18" s="336"/>
    </row>
    <row r="19" spans="2:17" ht="12.75" customHeight="1" thickBot="1" x14ac:dyDescent="0.25">
      <c r="B19" s="946" t="s">
        <v>48</v>
      </c>
      <c r="C19" s="950"/>
      <c r="D19" s="947"/>
      <c r="E19" s="486"/>
      <c r="F19" s="344">
        <v>0</v>
      </c>
      <c r="G19" s="345"/>
      <c r="H19" s="248" t="s">
        <v>49</v>
      </c>
      <c r="I19" s="248"/>
      <c r="J19" s="249" t="s">
        <v>50</v>
      </c>
      <c r="K19" s="346" t="str">
        <f>VLOOKUP("X",$I$15:$J$18,2,FALSE)</f>
        <v>-</v>
      </c>
      <c r="L19" s="248"/>
      <c r="M19" s="984"/>
      <c r="N19" s="253" t="s">
        <v>51</v>
      </c>
      <c r="O19" s="339">
        <v>0.08</v>
      </c>
      <c r="P19" s="340">
        <v>0.08</v>
      </c>
      <c r="Q19" s="336"/>
    </row>
    <row r="20" spans="2:17" ht="12.75" customHeight="1" thickBot="1" x14ac:dyDescent="0.25">
      <c r="B20" s="248"/>
      <c r="C20" s="248"/>
      <c r="D20" s="276" t="s">
        <v>52</v>
      </c>
      <c r="E20" s="381">
        <f>SUM(E15:E19)</f>
        <v>0</v>
      </c>
      <c r="F20" s="347">
        <f>SUM(F15:F19)</f>
        <v>0</v>
      </c>
      <c r="G20" s="348"/>
      <c r="H20" s="349">
        <f>IF(ISERROR(E20/E11*100),,(E20/E11*100))</f>
        <v>0</v>
      </c>
      <c r="I20" s="248" t="s">
        <v>20</v>
      </c>
      <c r="J20" s="248"/>
      <c r="K20" s="249"/>
      <c r="L20" s="248"/>
      <c r="M20" s="985"/>
      <c r="N20" s="350" t="s">
        <v>53</v>
      </c>
      <c r="O20" s="351">
        <v>0.08</v>
      </c>
      <c r="P20" s="352">
        <v>0.08</v>
      </c>
      <c r="Q20" s="306"/>
    </row>
    <row r="21" spans="2:17" ht="12.75" customHeight="1" x14ac:dyDescent="0.2">
      <c r="B21" s="248"/>
      <c r="C21" s="248"/>
      <c r="D21" s="248"/>
      <c r="E21" s="248"/>
      <c r="F21" s="248"/>
      <c r="G21" s="248"/>
      <c r="H21" s="248"/>
      <c r="I21" s="248"/>
      <c r="J21" s="248"/>
      <c r="K21" s="249"/>
      <c r="L21" s="248"/>
      <c r="M21" s="248"/>
      <c r="N21" s="248"/>
      <c r="O21" s="248"/>
      <c r="P21" s="248"/>
      <c r="Q21" s="306"/>
    </row>
    <row r="22" spans="2:17" ht="12.75" customHeight="1" thickBot="1" x14ac:dyDescent="0.25">
      <c r="B22" s="248"/>
      <c r="C22" s="248"/>
      <c r="D22" s="248"/>
      <c r="E22" s="248"/>
      <c r="F22" s="353"/>
      <c r="G22" s="248"/>
      <c r="H22" s="371" t="s">
        <v>54</v>
      </c>
      <c r="I22" s="248"/>
      <c r="J22" s="248"/>
      <c r="K22" s="249"/>
      <c r="L22" s="248"/>
      <c r="M22" s="248"/>
      <c r="N22" s="248"/>
      <c r="O22" s="248"/>
      <c r="P22" s="248"/>
      <c r="Q22" s="306"/>
    </row>
    <row r="23" spans="2:17" ht="12.75" customHeight="1" thickBot="1" x14ac:dyDescent="0.25">
      <c r="B23" s="1021" t="s">
        <v>55</v>
      </c>
      <c r="C23" s="1022"/>
      <c r="D23" s="1023"/>
      <c r="E23" s="389"/>
      <c r="F23" s="323"/>
      <c r="G23" s="390"/>
      <c r="H23" s="391" t="s">
        <v>56</v>
      </c>
      <c r="I23" s="293" t="s">
        <v>18</v>
      </c>
      <c r="J23" s="392" t="s">
        <v>27</v>
      </c>
      <c r="K23" s="420"/>
      <c r="L23" s="1047" t="s">
        <v>58</v>
      </c>
      <c r="M23" s="1047"/>
      <c r="N23" s="1047"/>
      <c r="O23" s="1047"/>
      <c r="P23" s="1047"/>
      <c r="Q23" s="306"/>
    </row>
    <row r="24" spans="2:17" ht="12.75" customHeight="1" x14ac:dyDescent="0.2">
      <c r="B24" s="936" t="s">
        <v>114</v>
      </c>
      <c r="C24" s="938"/>
      <c r="D24" s="937"/>
      <c r="E24" s="565">
        <f>E11</f>
        <v>0</v>
      </c>
      <c r="F24" s="393">
        <f>F11</f>
        <v>0</v>
      </c>
      <c r="G24" s="394"/>
      <c r="H24" s="327" t="s">
        <v>57</v>
      </c>
      <c r="I24" s="358" t="str">
        <f>IF(COUNTIF($L$24:$L$28,"x")=0,"X",)</f>
        <v>X</v>
      </c>
      <c r="J24" s="359" t="s">
        <v>158</v>
      </c>
      <c r="K24" s="420"/>
      <c r="L24" s="566" t="s">
        <v>59</v>
      </c>
      <c r="M24" s="1010" t="s">
        <v>60</v>
      </c>
      <c r="N24" s="943"/>
      <c r="O24" s="943"/>
      <c r="P24" s="1011"/>
      <c r="Q24" s="336"/>
    </row>
    <row r="25" spans="2:17" ht="12.75" customHeight="1" x14ac:dyDescent="0.2">
      <c r="B25" s="936" t="s">
        <v>115</v>
      </c>
      <c r="C25" s="938"/>
      <c r="D25" s="937"/>
      <c r="E25" s="565">
        <f>E20</f>
        <v>0</v>
      </c>
      <c r="F25" s="393">
        <f>F20</f>
        <v>0</v>
      </c>
      <c r="G25" s="394"/>
      <c r="H25" s="327">
        <v>1</v>
      </c>
      <c r="I25" s="358">
        <f>IF(COUNTIF($L$24:$L$28,"x")=1,"X",)</f>
        <v>0</v>
      </c>
      <c r="J25" s="334">
        <v>10</v>
      </c>
      <c r="K25" s="420"/>
      <c r="L25" s="488" t="s">
        <v>59</v>
      </c>
      <c r="M25" s="986" t="s">
        <v>61</v>
      </c>
      <c r="N25" s="938"/>
      <c r="O25" s="938"/>
      <c r="P25" s="987"/>
    </row>
    <row r="26" spans="2:17" ht="12.75" customHeight="1" x14ac:dyDescent="0.2">
      <c r="B26" s="936" t="s">
        <v>116</v>
      </c>
      <c r="C26" s="938"/>
      <c r="D26" s="937"/>
      <c r="E26" s="395">
        <f>60%*E25</f>
        <v>0</v>
      </c>
      <c r="F26" s="393">
        <f>F20*0.6</f>
        <v>0</v>
      </c>
      <c r="G26" s="394"/>
      <c r="H26" s="327">
        <v>2</v>
      </c>
      <c r="I26" s="358">
        <f>IF(COUNTIF($L$24:$L$28,"x")=2,"X",)</f>
        <v>0</v>
      </c>
      <c r="J26" s="334">
        <v>20</v>
      </c>
      <c r="K26" s="420"/>
      <c r="L26" s="488" t="s">
        <v>59</v>
      </c>
      <c r="M26" s="988" t="s">
        <v>62</v>
      </c>
      <c r="N26" s="989"/>
      <c r="O26" s="989"/>
      <c r="P26" s="990"/>
    </row>
    <row r="27" spans="2:17" ht="12.75" customHeight="1" thickBot="1" x14ac:dyDescent="0.25">
      <c r="B27" s="936" t="s">
        <v>117</v>
      </c>
      <c r="C27" s="938"/>
      <c r="D27" s="937"/>
      <c r="E27" s="396">
        <f>SUM(E24,E26)</f>
        <v>0</v>
      </c>
      <c r="F27" s="393"/>
      <c r="G27" s="397"/>
      <c r="H27" s="327">
        <v>3</v>
      </c>
      <c r="I27" s="358">
        <f>IF(COUNTIF($L$24:$L$28,"x")=3,"X",)</f>
        <v>0</v>
      </c>
      <c r="J27" s="334">
        <v>30</v>
      </c>
      <c r="K27" s="249"/>
      <c r="L27" s="488" t="s">
        <v>59</v>
      </c>
      <c r="M27" s="986" t="s">
        <v>306</v>
      </c>
      <c r="N27" s="938"/>
      <c r="O27" s="938"/>
      <c r="P27" s="987"/>
    </row>
    <row r="28" spans="2:17" ht="12.75" customHeight="1" thickBot="1" x14ac:dyDescent="0.25">
      <c r="B28" s="946"/>
      <c r="C28" s="950"/>
      <c r="D28" s="947"/>
      <c r="E28" s="398"/>
      <c r="F28" s="264">
        <f>F24+F26</f>
        <v>0</v>
      </c>
      <c r="G28" s="394"/>
      <c r="H28" s="327">
        <v>4</v>
      </c>
      <c r="I28" s="358">
        <f>IF(COUNTIF($L$24:$L$28,"x")=4,"X",)</f>
        <v>0</v>
      </c>
      <c r="J28" s="334">
        <v>40</v>
      </c>
      <c r="K28" s="249"/>
      <c r="L28" s="489" t="s">
        <v>59</v>
      </c>
      <c r="M28" s="991" t="s">
        <v>63</v>
      </c>
      <c r="N28" s="950"/>
      <c r="O28" s="950"/>
      <c r="P28" s="992"/>
    </row>
    <row r="29" spans="2:17" ht="12.75" customHeight="1" thickBot="1" x14ac:dyDescent="0.25">
      <c r="B29" s="248"/>
      <c r="C29" s="248"/>
      <c r="D29" s="248"/>
      <c r="E29" s="260"/>
      <c r="F29" s="383"/>
      <c r="G29" s="383"/>
      <c r="H29" s="399">
        <v>5</v>
      </c>
      <c r="I29" s="364">
        <f>IF(COUNTIF($L$24:$L$28,"x")=5,"X",)</f>
        <v>0</v>
      </c>
      <c r="J29" s="343">
        <v>50</v>
      </c>
      <c r="K29" s="249"/>
    </row>
    <row r="30" spans="2:17" ht="12.75" customHeight="1" thickBot="1" x14ac:dyDescent="0.25">
      <c r="B30" s="248"/>
      <c r="C30" s="248"/>
      <c r="D30" s="248"/>
      <c r="E30" s="248"/>
      <c r="F30" s="400"/>
      <c r="G30" s="262"/>
      <c r="H30" s="248"/>
      <c r="I30" s="248"/>
      <c r="J30" s="249" t="s">
        <v>64</v>
      </c>
      <c r="K30" s="366" t="str">
        <f>VLOOKUP("X",I24:J29,2,FALSE)</f>
        <v>-</v>
      </c>
      <c r="L30" s="367"/>
      <c r="M30" s="248"/>
      <c r="N30" s="248"/>
      <c r="O30" s="248"/>
      <c r="P30" s="251"/>
      <c r="Q30" s="336"/>
    </row>
    <row r="31" spans="2:17" ht="12.75" customHeight="1" thickBot="1" x14ac:dyDescent="0.25">
      <c r="B31" s="1021" t="s">
        <v>65</v>
      </c>
      <c r="C31" s="1022"/>
      <c r="D31" s="1022"/>
      <c r="E31" s="1030"/>
      <c r="F31" s="401"/>
      <c r="G31" s="262"/>
      <c r="H31" s="248"/>
      <c r="I31" s="248"/>
      <c r="J31" s="248"/>
      <c r="K31" s="249" t="s">
        <v>2</v>
      </c>
      <c r="L31" s="248" t="s">
        <v>66</v>
      </c>
      <c r="M31" s="1006" t="s">
        <v>215</v>
      </c>
      <c r="N31" s="1006"/>
      <c r="O31" s="248"/>
      <c r="P31" s="251"/>
      <c r="Q31" s="336"/>
    </row>
    <row r="32" spans="2:17" ht="12.75" customHeight="1" thickBot="1" x14ac:dyDescent="0.25">
      <c r="B32" s="936" t="s">
        <v>118</v>
      </c>
      <c r="C32" s="938"/>
      <c r="D32" s="937"/>
      <c r="E32" s="496"/>
      <c r="F32" s="261"/>
      <c r="G32" s="262"/>
      <c r="H32" s="248"/>
      <c r="I32" s="1028" t="s">
        <v>67</v>
      </c>
      <c r="J32" s="1029"/>
      <c r="K32" s="346">
        <f>SUM(K30,K19,K11)</f>
        <v>0</v>
      </c>
      <c r="L32" s="402" t="str">
        <f>IF(DettContCostoCost_SommaIncrementi=0,"I",IF(ISERROR(MATCH(DettContCostoCost_SommaIncrementi,Parametri_MinClassi,1))=TRUE,INDEX(Parametri_Classi,1,1),INDEX(Parametri_Classi,MATCH(DettContCostoCost_SommaIncrementi,Parametri_MinClassi,1),1)))</f>
        <v>I</v>
      </c>
      <c r="M32" s="993">
        <f>IF(DettContCostoCost_SommaIncrementi=0,0,IF(ISERROR(MATCH(DettContCostoCost_SommaIncrementi,Parametri_MinClassi,1))=TRUE,INDEX(Parametri_Classi,1,4),INDEX(Parametri_Classi,MATCH(DettContCostoCost_SommaIncrementi,Parametri_MinClassi,1),4)))</f>
        <v>0</v>
      </c>
      <c r="N32" s="994"/>
      <c r="O32" s="248"/>
      <c r="P32" s="251"/>
      <c r="Q32" s="336"/>
    </row>
    <row r="33" spans="2:17" ht="12.75" customHeight="1" thickBot="1" x14ac:dyDescent="0.25">
      <c r="B33" s="936" t="s">
        <v>119</v>
      </c>
      <c r="C33" s="938"/>
      <c r="D33" s="937"/>
      <c r="E33" s="496"/>
      <c r="F33" s="261"/>
      <c r="G33" s="262"/>
      <c r="H33" s="248"/>
      <c r="I33" s="248"/>
      <c r="J33" s="248"/>
      <c r="K33" s="249"/>
      <c r="L33" s="248"/>
      <c r="M33" s="248"/>
      <c r="N33" s="248"/>
      <c r="O33" s="248"/>
      <c r="P33" s="251"/>
    </row>
    <row r="34" spans="2:17" ht="12.75" customHeight="1" thickBot="1" x14ac:dyDescent="0.25">
      <c r="B34" s="936" t="s">
        <v>120</v>
      </c>
      <c r="C34" s="938"/>
      <c r="D34" s="937"/>
      <c r="E34" s="255">
        <f>E33*0.6</f>
        <v>0</v>
      </c>
      <c r="F34" s="261">
        <f>F33*0.6</f>
        <v>0</v>
      </c>
      <c r="G34" s="262"/>
      <c r="H34" s="248"/>
      <c r="I34" s="1028" t="s">
        <v>68</v>
      </c>
      <c r="J34" s="1039"/>
      <c r="K34" s="1029"/>
      <c r="L34" s="403">
        <f>IF(Cc_Modalitacalcolo="Calcolo costo costruzione",E27+E35,0)</f>
        <v>0</v>
      </c>
      <c r="M34" s="248" t="s">
        <v>69</v>
      </c>
      <c r="N34" s="248"/>
      <c r="O34" s="248"/>
      <c r="P34" s="251"/>
    </row>
    <row r="35" spans="2:17" ht="12.75" customHeight="1" thickBot="1" x14ac:dyDescent="0.25">
      <c r="B35" s="946" t="s">
        <v>121</v>
      </c>
      <c r="C35" s="950"/>
      <c r="D35" s="947"/>
      <c r="E35" s="258">
        <f>E32+E34</f>
        <v>0</v>
      </c>
      <c r="F35" s="263">
        <v>0</v>
      </c>
      <c r="G35" s="262"/>
      <c r="H35" s="248"/>
      <c r="I35" s="1041" t="s">
        <v>97</v>
      </c>
      <c r="J35" s="1041"/>
      <c r="K35" s="1042"/>
      <c r="L35" s="404">
        <f>L34</f>
        <v>0</v>
      </c>
      <c r="M35" s="248"/>
      <c r="N35" s="248"/>
      <c r="O35" s="248"/>
      <c r="P35" s="248"/>
    </row>
    <row r="36" spans="2:17" ht="12.75" customHeight="1" thickBot="1" x14ac:dyDescent="0.25">
      <c r="B36" s="248"/>
      <c r="C36" s="247"/>
      <c r="D36" s="247"/>
      <c r="E36" s="247"/>
      <c r="F36" s="347">
        <f>F32+F34</f>
        <v>0</v>
      </c>
      <c r="G36" s="267"/>
      <c r="H36" s="248"/>
      <c r="I36" s="248" t="s">
        <v>76</v>
      </c>
      <c r="J36" s="248"/>
      <c r="K36" s="249"/>
      <c r="L36" s="248"/>
      <c r="M36" s="248"/>
      <c r="N36" s="248"/>
      <c r="O36" s="248"/>
      <c r="P36" s="248"/>
    </row>
    <row r="37" spans="2:17" ht="12.75" customHeight="1" x14ac:dyDescent="0.2">
      <c r="B37" s="248"/>
      <c r="C37" s="248"/>
      <c r="D37" s="248"/>
      <c r="E37" s="248"/>
      <c r="F37" s="405"/>
      <c r="G37" s="267"/>
      <c r="H37" s="248"/>
      <c r="I37" s="1024" t="s">
        <v>129</v>
      </c>
      <c r="J37" s="1025"/>
      <c r="K37" s="1010" t="s">
        <v>70</v>
      </c>
      <c r="L37" s="1040"/>
      <c r="M37" s="388" t="s">
        <v>224</v>
      </c>
      <c r="N37" s="1043"/>
      <c r="O37" s="1044"/>
      <c r="P37" s="248"/>
    </row>
    <row r="38" spans="2:17" ht="12.75" customHeight="1" thickBot="1" x14ac:dyDescent="0.25">
      <c r="B38" s="248"/>
      <c r="C38" s="248"/>
      <c r="D38" s="248"/>
      <c r="E38" s="248"/>
      <c r="F38" s="405"/>
      <c r="G38" s="267"/>
      <c r="H38" s="248"/>
      <c r="I38" s="1026"/>
      <c r="J38" s="1027"/>
      <c r="K38" s="991" t="s">
        <v>71</v>
      </c>
      <c r="L38" s="947"/>
      <c r="M38" s="406" t="s">
        <v>225</v>
      </c>
      <c r="N38" s="1052">
        <v>0</v>
      </c>
      <c r="O38" s="1053"/>
      <c r="P38" s="248"/>
    </row>
    <row r="39" spans="2:17" ht="12.75" customHeight="1" thickBot="1" x14ac:dyDescent="0.25">
      <c r="B39" s="969" t="s">
        <v>219</v>
      </c>
      <c r="C39" s="969"/>
      <c r="D39" s="969"/>
      <c r="E39" s="969"/>
      <c r="F39" s="969"/>
      <c r="G39" s="969"/>
      <c r="H39" s="969"/>
      <c r="I39" s="267"/>
      <c r="J39" s="267"/>
      <c r="K39" s="249"/>
      <c r="L39" s="248"/>
      <c r="M39" s="248"/>
      <c r="N39" s="407"/>
      <c r="O39" s="407"/>
      <c r="P39" s="248"/>
    </row>
    <row r="40" spans="2:17" ht="12.75" customHeight="1" thickBot="1" x14ac:dyDescent="0.25">
      <c r="B40" s="967" t="s">
        <v>252</v>
      </c>
      <c r="C40" s="967"/>
      <c r="D40" s="967"/>
      <c r="E40" s="967"/>
      <c r="F40" s="266"/>
      <c r="G40" s="269"/>
      <c r="H40" s="248"/>
      <c r="I40" s="248"/>
      <c r="J40" s="372"/>
      <c r="K40" s="421"/>
      <c r="L40" s="372"/>
      <c r="M40" s="276"/>
      <c r="N40" s="1045">
        <f>IF(DettaglioCostoCostruz_TipoIntervento="Nuova costruzione",CostoBase_NuovaEdif,CostoBase_Ristrutturaz)</f>
        <v>491.37</v>
      </c>
      <c r="O40" s="1046"/>
      <c r="P40" s="248"/>
    </row>
    <row r="41" spans="2:17" ht="12.75" customHeight="1" thickBot="1" x14ac:dyDescent="0.25">
      <c r="B41" s="967" t="s">
        <v>253</v>
      </c>
      <c r="C41" s="967"/>
      <c r="D41" s="967"/>
      <c r="E41" s="967"/>
      <c r="F41" s="266"/>
      <c r="G41" s="269"/>
      <c r="H41" s="257"/>
      <c r="I41" s="257"/>
      <c r="J41" s="373"/>
      <c r="K41" s="422"/>
      <c r="L41" s="373"/>
      <c r="M41" s="276"/>
      <c r="N41" s="1045">
        <f>N40*(1+M32/100)</f>
        <v>491.37</v>
      </c>
      <c r="O41" s="1046"/>
      <c r="P41" s="248"/>
    </row>
    <row r="42" spans="2:17" ht="12.75" customHeight="1" thickBot="1" x14ac:dyDescent="0.25">
      <c r="B42" s="967" t="s">
        <v>131</v>
      </c>
      <c r="C42" s="967"/>
      <c r="D42" s="967"/>
      <c r="E42" s="967"/>
      <c r="F42" s="266"/>
      <c r="G42" s="269"/>
      <c r="H42" s="257"/>
      <c r="I42" s="257"/>
      <c r="J42" s="373"/>
      <c r="K42" s="422"/>
      <c r="L42" s="373"/>
      <c r="M42" s="276"/>
      <c r="N42" s="1045">
        <f>(L35*N41)</f>
        <v>0</v>
      </c>
      <c r="O42" s="1046"/>
      <c r="P42" s="248"/>
    </row>
    <row r="43" spans="2:17" ht="12.75" customHeight="1" thickBot="1" x14ac:dyDescent="0.25">
      <c r="B43" s="969" t="s">
        <v>220</v>
      </c>
      <c r="C43" s="969"/>
      <c r="D43" s="969"/>
      <c r="E43" s="969"/>
      <c r="F43" s="266"/>
      <c r="G43" s="269"/>
      <c r="H43" s="248"/>
      <c r="I43" s="248"/>
      <c r="J43" s="267"/>
      <c r="K43" s="249" t="s">
        <v>140</v>
      </c>
      <c r="L43" s="267"/>
      <c r="M43" s="267"/>
      <c r="N43" s="408"/>
      <c r="O43" s="407"/>
      <c r="P43" s="248"/>
    </row>
    <row r="44" spans="2:17" ht="12.75" customHeight="1" thickBot="1" x14ac:dyDescent="0.25">
      <c r="B44" s="967" t="s">
        <v>134</v>
      </c>
      <c r="C44" s="967"/>
      <c r="D44" s="967"/>
      <c r="E44" s="967"/>
      <c r="F44" s="262"/>
      <c r="G44" s="269"/>
      <c r="H44" s="275" t="s">
        <v>72</v>
      </c>
      <c r="I44" s="275"/>
      <c r="J44" s="267"/>
      <c r="K44" s="423">
        <f>IF(ISERROR(MATCH(DettContCostoCost_SommaIncrementi,Parametri_MinClassi,1))=TRUE,INDEX(Parametri_Classi,1,IF(DettaglioCostoCostruz_TipoIntervento="Ristrutturazione",6,5)),INDEX(Parametri_Classi,MATCH(DettContCostoCost_SommaIncrementi,Parametri_MinClassi,1),IF(DettaglioCostoCostruz_TipoIntervento="Ristrutturazione",6,5)))</f>
        <v>6</v>
      </c>
      <c r="L44" s="267" t="s">
        <v>33</v>
      </c>
      <c r="M44" s="276"/>
      <c r="N44" s="1045">
        <f>N42*K44/100</f>
        <v>0</v>
      </c>
      <c r="O44" s="1046"/>
      <c r="P44" s="248"/>
      <c r="Q44" s="250" t="s">
        <v>73</v>
      </c>
    </row>
    <row r="45" spans="2:17" ht="12.75" customHeight="1" thickBot="1" x14ac:dyDescent="0.25">
      <c r="B45" s="967" t="s">
        <v>135</v>
      </c>
      <c r="C45" s="967"/>
      <c r="D45" s="967"/>
      <c r="E45" s="967"/>
      <c r="F45" s="262"/>
      <c r="G45" s="269"/>
      <c r="H45" s="275" t="s">
        <v>74</v>
      </c>
      <c r="I45" s="409"/>
      <c r="J45" s="410"/>
      <c r="K45" s="423">
        <f>IF(ISERROR(MATCH(DettContCostoCost_SommaIncrementi,Parametri_MinClassi,1))=TRUE,INDEX(Parametri_Classi,1,IF(DettaglioCostoCostruz_TipoIntervento="Ristrutturazione",6,5)),INDEX(Parametri_Classi,MATCH(DettContCostoCost_SommaIncrementi,Parametri_MinClassi,1),IF(DettaglioCostoCostruz_TipoIntervento="Ristrutturazione",6,5)))</f>
        <v>6</v>
      </c>
      <c r="L45" s="373" t="s">
        <v>33</v>
      </c>
      <c r="M45" s="276"/>
      <c r="N45" s="1045">
        <f>N37*K45/100</f>
        <v>0</v>
      </c>
      <c r="O45" s="1046"/>
      <c r="P45" s="248"/>
      <c r="Q45" s="297"/>
    </row>
    <row r="46" spans="2:17" ht="12.75" customHeight="1" thickBot="1" x14ac:dyDescent="0.25">
      <c r="B46" s="967" t="s">
        <v>136</v>
      </c>
      <c r="C46" s="967"/>
      <c r="D46" s="967"/>
      <c r="E46" s="967"/>
      <c r="F46" s="262"/>
      <c r="G46" s="269"/>
      <c r="H46" s="275" t="s">
        <v>75</v>
      </c>
      <c r="I46" s="275"/>
      <c r="J46" s="410"/>
      <c r="K46" s="512">
        <f>IF(DettaglioCostoCostruz_TipoIntervento="Nuova costruzione",Parametri_Aliquota_terziario_nuova_costr,Parametri_Aliquota_terziario_ristrutt)</f>
        <v>0.1</v>
      </c>
      <c r="L46" s="373" t="s">
        <v>33</v>
      </c>
      <c r="M46" s="276"/>
      <c r="N46" s="1045">
        <f>N38*K46</f>
        <v>0</v>
      </c>
      <c r="O46" s="1046"/>
      <c r="P46" s="248"/>
      <c r="Q46" s="297"/>
    </row>
    <row r="47" spans="2:17" s="415" customFormat="1" ht="12.75" customHeight="1" thickBot="1" x14ac:dyDescent="0.25">
      <c r="B47" s="967" t="s">
        <v>137</v>
      </c>
      <c r="C47" s="967"/>
      <c r="D47" s="967"/>
      <c r="E47" s="967"/>
      <c r="F47" s="411"/>
      <c r="G47" s="411"/>
      <c r="H47" s="412"/>
      <c r="I47" s="412"/>
      <c r="J47" s="412"/>
      <c r="K47" s="424"/>
      <c r="L47" s="412" t="s">
        <v>33</v>
      </c>
      <c r="M47" s="413"/>
      <c r="N47" s="1045">
        <f>N44+N45+N46</f>
        <v>0</v>
      </c>
      <c r="O47" s="1046"/>
      <c r="P47" s="414"/>
    </row>
    <row r="48" spans="2:17" ht="12.75" customHeight="1" thickBot="1" x14ac:dyDescent="0.25">
      <c r="B48" s="969" t="s">
        <v>221</v>
      </c>
      <c r="C48" s="969"/>
      <c r="D48" s="969"/>
      <c r="E48" s="969"/>
      <c r="F48" s="262"/>
      <c r="G48" s="262"/>
      <c r="H48" s="267"/>
      <c r="I48" s="267"/>
      <c r="J48" s="267"/>
      <c r="K48" s="273"/>
      <c r="L48" s="267"/>
      <c r="M48" s="267"/>
      <c r="N48" s="407"/>
      <c r="O48" s="407"/>
      <c r="P48" s="248"/>
      <c r="Q48" s="297"/>
    </row>
    <row r="49" spans="2:17" ht="12.75" customHeight="1" thickBot="1" x14ac:dyDescent="0.25">
      <c r="B49" s="967" t="s">
        <v>138</v>
      </c>
      <c r="C49" s="967"/>
      <c r="D49" s="967"/>
      <c r="E49" s="967"/>
      <c r="F49" s="269"/>
      <c r="G49" s="269"/>
      <c r="H49" s="416"/>
      <c r="I49" s="416"/>
      <c r="J49" s="372"/>
      <c r="K49" s="421"/>
      <c r="L49" s="372"/>
      <c r="M49" s="276"/>
      <c r="N49" s="999"/>
      <c r="O49" s="1000"/>
      <c r="P49" s="248"/>
      <c r="Q49" s="297"/>
    </row>
    <row r="50" spans="2:17" ht="12.75" customHeight="1" thickBot="1" x14ac:dyDescent="0.25">
      <c r="B50" s="967" t="s">
        <v>139</v>
      </c>
      <c r="C50" s="967"/>
      <c r="D50" s="967"/>
      <c r="E50" s="967"/>
      <c r="F50" s="269"/>
      <c r="G50" s="269"/>
      <c r="H50" s="257"/>
      <c r="I50" s="257"/>
      <c r="J50" s="373"/>
      <c r="K50" s="422"/>
      <c r="L50" s="373"/>
      <c r="M50" s="276"/>
      <c r="N50" s="999"/>
      <c r="O50" s="1000"/>
      <c r="P50" s="248"/>
      <c r="Q50" s="297"/>
    </row>
    <row r="51" spans="2:17" ht="12.75" customHeight="1" thickBot="1" x14ac:dyDescent="0.25">
      <c r="B51" s="285"/>
      <c r="C51" s="285"/>
      <c r="D51" s="285"/>
      <c r="E51" s="285"/>
      <c r="F51" s="417"/>
      <c r="G51" s="417"/>
      <c r="H51" s="251"/>
      <c r="I51" s="251"/>
      <c r="J51" s="251"/>
      <c r="K51" s="420"/>
      <c r="L51" s="251"/>
      <c r="M51" s="251"/>
      <c r="N51" s="418"/>
      <c r="O51" s="418"/>
      <c r="P51" s="248"/>
      <c r="Q51" s="297"/>
    </row>
    <row r="52" spans="2:17" ht="15" customHeight="1" thickBot="1" x14ac:dyDescent="0.25">
      <c r="B52" s="1031" t="s">
        <v>105</v>
      </c>
      <c r="C52" s="1031"/>
      <c r="D52" s="1031"/>
      <c r="E52" s="1031"/>
      <c r="F52" s="1031"/>
      <c r="G52" s="1031"/>
      <c r="H52" s="1031"/>
      <c r="I52" s="1031"/>
      <c r="J52" s="1031"/>
      <c r="K52" s="1031"/>
      <c r="L52" s="1031"/>
      <c r="M52" s="1032"/>
      <c r="N52" s="995">
        <f>(N47-N49-N50)</f>
        <v>0</v>
      </c>
      <c r="O52" s="996"/>
      <c r="P52" s="248"/>
      <c r="Q52" s="297"/>
    </row>
    <row r="53" spans="2:17" ht="12" customHeight="1" x14ac:dyDescent="0.2">
      <c r="B53" s="248"/>
      <c r="C53" s="248"/>
      <c r="D53" s="248"/>
      <c r="E53" s="248"/>
      <c r="F53" s="269"/>
      <c r="G53" s="269"/>
      <c r="H53" s="248"/>
      <c r="I53" s="248"/>
      <c r="J53" s="248"/>
      <c r="K53" s="249"/>
      <c r="L53" s="248"/>
      <c r="M53" s="248"/>
      <c r="N53" s="248"/>
      <c r="O53" s="248"/>
      <c r="P53" s="248"/>
      <c r="Q53" s="297"/>
    </row>
  </sheetData>
  <sheetProtection password="83CC" sheet="1" formatColumns="0" formatRows="0" insertRows="0"/>
  <mergeCells count="73">
    <mergeCell ref="B43:E43"/>
    <mergeCell ref="B44:E44"/>
    <mergeCell ref="B25:D25"/>
    <mergeCell ref="B28:D28"/>
    <mergeCell ref="M27:P27"/>
    <mergeCell ref="I34:K34"/>
    <mergeCell ref="B40:E40"/>
    <mergeCell ref="B33:D33"/>
    <mergeCell ref="B35:D35"/>
    <mergeCell ref="B34:D34"/>
    <mergeCell ref="I37:J38"/>
    <mergeCell ref="B31:E31"/>
    <mergeCell ref="B32:D32"/>
    <mergeCell ref="B26:D26"/>
    <mergeCell ref="M25:P25"/>
    <mergeCell ref="N42:O42"/>
    <mergeCell ref="N38:O38"/>
    <mergeCell ref="B15:D16"/>
    <mergeCell ref="B39:H39"/>
    <mergeCell ref="M26:P26"/>
    <mergeCell ref="B24:D24"/>
    <mergeCell ref="Q6:Q7"/>
    <mergeCell ref="B1:P1"/>
    <mergeCell ref="D2:H2"/>
    <mergeCell ref="B6:C6"/>
    <mergeCell ref="D3:H3"/>
    <mergeCell ref="B2:C2"/>
    <mergeCell ref="O7:O14"/>
    <mergeCell ref="B3:C3"/>
    <mergeCell ref="B9:C9"/>
    <mergeCell ref="B5:C5"/>
    <mergeCell ref="B8:C8"/>
    <mergeCell ref="B7:C7"/>
    <mergeCell ref="B42:E42"/>
    <mergeCell ref="P7:P14"/>
    <mergeCell ref="N12:N14"/>
    <mergeCell ref="B14:D14"/>
    <mergeCell ref="E15:E16"/>
    <mergeCell ref="M12:M20"/>
    <mergeCell ref="B17:D17"/>
    <mergeCell ref="B18:D18"/>
    <mergeCell ref="L23:P23"/>
    <mergeCell ref="M9:N11"/>
    <mergeCell ref="B19:D19"/>
    <mergeCell ref="B10:C10"/>
    <mergeCell ref="M28:P28"/>
    <mergeCell ref="B27:D27"/>
    <mergeCell ref="B23:D23"/>
    <mergeCell ref="M24:P24"/>
    <mergeCell ref="B49:E49"/>
    <mergeCell ref="B48:E48"/>
    <mergeCell ref="N44:O44"/>
    <mergeCell ref="N45:O45"/>
    <mergeCell ref="N46:O46"/>
    <mergeCell ref="N47:O47"/>
    <mergeCell ref="B47:E47"/>
    <mergeCell ref="B45:E45"/>
    <mergeCell ref="N52:O52"/>
    <mergeCell ref="I32:J32"/>
    <mergeCell ref="I35:K35"/>
    <mergeCell ref="N37:O37"/>
    <mergeCell ref="M31:N31"/>
    <mergeCell ref="B52:M52"/>
    <mergeCell ref="B41:E41"/>
    <mergeCell ref="N50:O50"/>
    <mergeCell ref="N49:O49"/>
    <mergeCell ref="M32:N32"/>
    <mergeCell ref="B50:E50"/>
    <mergeCell ref="B46:E46"/>
    <mergeCell ref="N40:O40"/>
    <mergeCell ref="K37:L37"/>
    <mergeCell ref="K38:L38"/>
    <mergeCell ref="N41:O41"/>
  </mergeCells>
  <phoneticPr fontId="21" type="noConversion"/>
  <dataValidations count="3">
    <dataValidation type="list" allowBlank="1" showInputMessage="1" showErrorMessage="1" sqref="D2" xr:uid="{00000000-0002-0000-0800-000000000000}">
      <formula1>"Nuova costruzione,Ristrutturazione"</formula1>
    </dataValidation>
    <dataValidation type="list" allowBlank="1" showInputMessage="1" showErrorMessage="1" sqref="D3" xr:uid="{00000000-0002-0000-0800-000001000000}">
      <formula1>"Calcolo costo costruzione,Calcolo classe"</formula1>
    </dataValidation>
    <dataValidation type="list" allowBlank="1" showInputMessage="1" showErrorMessage="1" sqref="L24:L28" xr:uid="{00000000-0002-0000-0800-000002000000}">
      <formula1>opzioni</formula1>
    </dataValidation>
  </dataValidations>
  <hyperlinks>
    <hyperlink ref="Q6:Q7" location="'Procedura guidata'!A1" display="Torna alla procedura guidata!" xr:uid="{00000000-0004-0000-0800-000000000000}"/>
  </hyperlinks>
  <pageMargins left="0.23622047244094491" right="0.15748031496062992" top="0.27559055118110237" bottom="0.27559055118110237" header="0.27559055118110237" footer="0.51181102362204722"/>
  <pageSetup paperSize="9" scale="89"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13</vt:i4>
      </vt:variant>
      <vt:variant>
        <vt:lpstr>Intervalli denominati</vt:lpstr>
      </vt:variant>
      <vt:variant>
        <vt:i4>492</vt:i4>
      </vt:variant>
    </vt:vector>
  </HeadingPairs>
  <TitlesOfParts>
    <vt:vector size="505" baseType="lpstr">
      <vt:lpstr>Procedura guidata</vt:lpstr>
      <vt:lpstr>Riepilogo generale</vt:lpstr>
      <vt:lpstr>Riepilogo oneri e costi</vt:lpstr>
      <vt:lpstr>Descrizione dell'intervento</vt:lpstr>
      <vt:lpstr>Calcolo superfici edificio</vt:lpstr>
      <vt:lpstr>Determinazione classe</vt:lpstr>
      <vt:lpstr>Costo Costruzione</vt:lpstr>
      <vt:lpstr>Costo costruzione statofatto</vt:lpstr>
      <vt:lpstr>Costo costruzione progetto</vt:lpstr>
      <vt:lpstr>Calcolo superficie parcheggio</vt:lpstr>
      <vt:lpstr>Rateizzazione</vt:lpstr>
      <vt:lpstr>Parametri</vt:lpstr>
      <vt:lpstr>Solo1</vt:lpstr>
      <vt:lpstr>'Costo Costruzione'!Area_stampa</vt:lpstr>
      <vt:lpstr>'Costo costruzione progetto'!Area_stampa</vt:lpstr>
      <vt:lpstr>'Costo costruzione statofatto'!Area_stampa</vt:lpstr>
      <vt:lpstr>'Descrizione dell''intervento'!Area_stampa</vt:lpstr>
      <vt:lpstr>'Determinazione classe'!Area_stampa</vt:lpstr>
      <vt:lpstr>'Riepilogo generale'!Area_stampa</vt:lpstr>
      <vt:lpstr>'Riepilogo oneri e costi'!Area_stampa</vt:lpstr>
      <vt:lpstr>Calcolo_sup_parcheggi_tot_volume_UIU</vt:lpstr>
      <vt:lpstr>CalcOn_OneriSmaltRif</vt:lpstr>
      <vt:lpstr>CalcOn_OneriUrbPrim</vt:lpstr>
      <vt:lpstr>CalcOn_OneriUrbSec</vt:lpstr>
      <vt:lpstr>CC_AltriCosti_DescMaggCostoCAreeAgr</vt:lpstr>
      <vt:lpstr>CC_AltriCosti_Sanzione</vt:lpstr>
      <vt:lpstr>CC_AltriCosti_SanzioneLabel</vt:lpstr>
      <vt:lpstr>CC_AltriCosti_ValoreMaggCCRecSott</vt:lpstr>
      <vt:lpstr>CC_AltriCosti_ValoreMaggCostoCAreeAgr</vt:lpstr>
      <vt:lpstr>CC_AltriCosti_ValoreMaggOnPrimRecSott</vt:lpstr>
      <vt:lpstr>CC_AltriCosti_ValoreMaggOnRecSott</vt:lpstr>
      <vt:lpstr>CC_CommercioTerziario</vt:lpstr>
      <vt:lpstr>CC_Corrisposto</vt:lpstr>
      <vt:lpstr>cc_CostoCostRecSottProg</vt:lpstr>
      <vt:lpstr>CC_lblPersonalizzazione1</vt:lpstr>
      <vt:lpstr>CC_MaggConsumoSuolo</vt:lpstr>
      <vt:lpstr>'Costo costruzione statofatto'!Cc_Modalitacalcolo</vt:lpstr>
      <vt:lpstr>Cc_Modalitacalcolo</vt:lpstr>
      <vt:lpstr>CC_Oblazione</vt:lpstr>
      <vt:lpstr>CC_Oneri_Urb_Prim_Corrisposti</vt:lpstr>
      <vt:lpstr>CC_Oneri_Urb_Sec_Corrisposti</vt:lpstr>
      <vt:lpstr>Cc_OneriSmaltRifiutiRif</vt:lpstr>
      <vt:lpstr>Cc_OneriUrbPrimariaRif</vt:lpstr>
      <vt:lpstr>Cc_OneriUrbSecondariaRif</vt:lpstr>
      <vt:lpstr>CC_OpereUrbPrimRealizzate</vt:lpstr>
      <vt:lpstr>CC_OpereUrbSecRealizzate</vt:lpstr>
      <vt:lpstr>CC_Residenziale</vt:lpstr>
      <vt:lpstr>CC_RiduzioneDensificazione</vt:lpstr>
      <vt:lpstr>CC_RiduzioneDensificazione_StFatto_Prog</vt:lpstr>
      <vt:lpstr>CC_RiduzionePianoCasa</vt:lpstr>
      <vt:lpstr>CC_RiduzionePianoCasa_StFatto_Prog</vt:lpstr>
      <vt:lpstr>CC_SmaltimRif_Corrisposti</vt:lpstr>
      <vt:lpstr>CC_StFatto_MaggConsumoSuolo</vt:lpstr>
      <vt:lpstr>'Costo costruzione statofatto'!CCSF_DettContCostoCost_SommaIncrementi</vt:lpstr>
      <vt:lpstr>'Costo Costruzione'!CCStatoFatto_SupCalcolo</vt:lpstr>
      <vt:lpstr>CCStatoFatto_SupCalcolo</vt:lpstr>
      <vt:lpstr>Co_MonAreeParc</vt:lpstr>
      <vt:lpstr>Co_MonAreeStand</vt:lpstr>
      <vt:lpstr>'Costo Costruzione'!Co_NEdResPrim</vt:lpstr>
      <vt:lpstr>Co_NEdResPrim</vt:lpstr>
      <vt:lpstr>Co_NEdResSec</vt:lpstr>
      <vt:lpstr>'Costo Costruzione'!Co_NEdSottPrim</vt:lpstr>
      <vt:lpstr>Complessivo_ConMagg</vt:lpstr>
      <vt:lpstr>ConsumoSuolo</vt:lpstr>
      <vt:lpstr>Costo_costruzione_Corrisposto</vt:lpstr>
      <vt:lpstr>CostoBase_NuovaEdif</vt:lpstr>
      <vt:lpstr>CostoBase_Ristrutturaz</vt:lpstr>
      <vt:lpstr>CostoCost_Nuov_Ampl_EscCorrisposto</vt:lpstr>
      <vt:lpstr>CostoCost_NuovaCost_CcEdificio</vt:lpstr>
      <vt:lpstr>CostoCost_NuovaCost_ContrBaseMinistAliq</vt:lpstr>
      <vt:lpstr>CostoCost_NuovaCost_ContrBaseMinistValore</vt:lpstr>
      <vt:lpstr>CostoCost_NuovaCost_ContrComEstComAliq</vt:lpstr>
      <vt:lpstr>CostoCost_NuovaCost_ContrComEstResAliq</vt:lpstr>
      <vt:lpstr>CostoCost_NuovaCost_SupCompl</vt:lpstr>
      <vt:lpstr>CostoCost_NuovaCostComm_ComputoEstim</vt:lpstr>
      <vt:lpstr>CostoCost_NuovaCostComm_SupCompl</vt:lpstr>
      <vt:lpstr>CostoCost_NuovaCostResid_ComputoEstim</vt:lpstr>
      <vt:lpstr>CostoCost_NuovaCostResid_SupCompl</vt:lpstr>
      <vt:lpstr>CostoCost_NuovaEdif_Dovuto</vt:lpstr>
      <vt:lpstr>CostoCost_Riferimento_Valore</vt:lpstr>
      <vt:lpstr>CostoCost_Rist_CcEdificio</vt:lpstr>
      <vt:lpstr>CostoCost_Rist_ContrBaseMinistAliq</vt:lpstr>
      <vt:lpstr>CostoCost_Rist_ContrBaseMinistValore</vt:lpstr>
      <vt:lpstr>CostoCost_Rist_ContrComEstComAliq</vt:lpstr>
      <vt:lpstr>CostoCost_Rist_ContrComEstResAliq</vt:lpstr>
      <vt:lpstr>CostoCost_Rist_Resid_ComputoEstim</vt:lpstr>
      <vt:lpstr>CostoCost_Rist_SupCompl</vt:lpstr>
      <vt:lpstr>CostoCost_RistComm_ComputoEstim</vt:lpstr>
      <vt:lpstr>CostoCost_RistComm_SupCompl</vt:lpstr>
      <vt:lpstr>CostoCost_Ristr_EscCorrisposto</vt:lpstr>
      <vt:lpstr>CostoCost_RistrAmpl_Dovuto</vt:lpstr>
      <vt:lpstr>CostoCost_RistResid_SupCompl</vt:lpstr>
      <vt:lpstr>CostoCost_Sot_CcEdificio</vt:lpstr>
      <vt:lpstr>CostoCost_Sot_ContrBaseMinistAliq</vt:lpstr>
      <vt:lpstr>CostoCost_Sot_ContrComEstResAliq</vt:lpstr>
      <vt:lpstr>CostoCost_Sot_SupCompl</vt:lpstr>
      <vt:lpstr>CostoCost_Sott_ContEscMagg</vt:lpstr>
      <vt:lpstr>CostoCost_Sott_PercentMagg</vt:lpstr>
      <vt:lpstr>CostoCost_Sottotetti_ComputoEstim</vt:lpstr>
      <vt:lpstr>CostoCost_Sottotetti_ContrBaseMinistValore</vt:lpstr>
      <vt:lpstr>CostoCost_SottotResid_SupCompl</vt:lpstr>
      <vt:lpstr>CostoCostFinale_NuovaCostComm_ComputoEstim</vt:lpstr>
      <vt:lpstr>CostoCostFinale_NuovaCostResid_ComputoEstim</vt:lpstr>
      <vt:lpstr>CostoCostFinale_Rist_Resid_ComputoEstim</vt:lpstr>
      <vt:lpstr>CostoCostFinale_RistComm_ComputoEstim</vt:lpstr>
      <vt:lpstr>CostoCostFinale_Sottotetti_ComputoEstim</vt:lpstr>
      <vt:lpstr>CostoCostProg_ContributoDovuto</vt:lpstr>
      <vt:lpstr>CostoCostr_NuovaEdif_corrisposto_concessione_cong</vt:lpstr>
      <vt:lpstr>CostoCostr_NuovaEdif_corrisposto_varianti</vt:lpstr>
      <vt:lpstr>CostoCostr_NuovaEdif_Prog_corrisposto_concessione_cong</vt:lpstr>
      <vt:lpstr>CostoCostr_NuovaEdif_Prog_corrisposto_varianti</vt:lpstr>
      <vt:lpstr>CostoCostr_NuovaEdif_StFatto_corrisposto_concessione_cong</vt:lpstr>
      <vt:lpstr>CostoCostr_NuovaEdif_StFatto_corrisposto_varianti</vt:lpstr>
      <vt:lpstr>CostoCostr_Prog_StFatto_corrisposto</vt:lpstr>
      <vt:lpstr>CostoCostr_Ristrutt_corrisposto_concessione_cong</vt:lpstr>
      <vt:lpstr>CostoCostr_Ristrutt_corrisposto_varianti</vt:lpstr>
      <vt:lpstr>CostoCostStatoFatto_ContributoDovuto</vt:lpstr>
      <vt:lpstr>DatiGen_IntervSanOnerosaForfImp</vt:lpstr>
      <vt:lpstr>DatiGen_ResidenzialeClasseA</vt:lpstr>
      <vt:lpstr>Densificazione</vt:lpstr>
      <vt:lpstr>DescInt_RisparmioPercent</vt:lpstr>
      <vt:lpstr>DescInt_RisparmioPercent_Etic</vt:lpstr>
      <vt:lpstr>DetCL_DettContCostoCost_SommaIncrementi</vt:lpstr>
      <vt:lpstr>DetClasse_Abitanti</vt:lpstr>
      <vt:lpstr>DetClasse_CostoCostruzClasse</vt:lpstr>
      <vt:lpstr>DetClasse_CostoMaggioratoNuovaEdif</vt:lpstr>
      <vt:lpstr>DetClasse_CostoMaggioratoRistr</vt:lpstr>
      <vt:lpstr>DetClasse_Maggiorazione</vt:lpstr>
      <vt:lpstr>DetClasse_NomeMatrice</vt:lpstr>
      <vt:lpstr>DetClasse_NomeMatriceMinClassi</vt:lpstr>
      <vt:lpstr>DetClasse_SupUtile</vt:lpstr>
      <vt:lpstr>DetClasseEdificio_SupUtile</vt:lpstr>
      <vt:lpstr>'Costo costruzione statofatto'!DettaglioCostoCostruz_Classe</vt:lpstr>
      <vt:lpstr>DettaglioCostoCostruz_Classe</vt:lpstr>
      <vt:lpstr>'Costo costruzione statofatto'!DettaglioCostoCostruz_TipoIntervento</vt:lpstr>
      <vt:lpstr>DettaglioCostoCostruz_TipoIntervento</vt:lpstr>
      <vt:lpstr>DettContCostoCost_SommaIncrementi</vt:lpstr>
      <vt:lpstr>DettContCostoCost_Sottot_Dovuto</vt:lpstr>
      <vt:lpstr>DettCosCostruz_SupCalcolo</vt:lpstr>
      <vt:lpstr>dimensione_planimetrica_1</vt:lpstr>
      <vt:lpstr>dimensione_planimetrica_1_totale</vt:lpstr>
      <vt:lpstr>dimensione_planimetrica_2</vt:lpstr>
      <vt:lpstr>dimensione_planimetrica_2_totale</vt:lpstr>
      <vt:lpstr>dimensione_planimetrica_3</vt:lpstr>
      <vt:lpstr>dimensione_planimetrica_3_totale</vt:lpstr>
      <vt:lpstr>dimensione_planimetrica_4</vt:lpstr>
      <vt:lpstr>dimensione_planimetrica_4_totale</vt:lpstr>
      <vt:lpstr>dimensione_planimetrica_5</vt:lpstr>
      <vt:lpstr>dimensione_planimetrica_5_totale</vt:lpstr>
      <vt:lpstr>dimensione_planimetrica_snr1_totale</vt:lpstr>
      <vt:lpstr>dimensione_planimetrica_snr2_totale</vt:lpstr>
      <vt:lpstr>dimensione_planimetrica_snr3_totale</vt:lpstr>
      <vt:lpstr>dimensione_planimetrica_totali</vt:lpstr>
      <vt:lpstr>EdiliziaConvenzionata</vt:lpstr>
      <vt:lpstr>elenco_riepilogo_sua_snr</vt:lpstr>
      <vt:lpstr>ElencoZone</vt:lpstr>
      <vt:lpstr>ElencoZoneMonetizzazione</vt:lpstr>
      <vt:lpstr>ElencoZoneMonetizzazione_Parcheggi</vt:lpstr>
      <vt:lpstr>ElencoZoneTerritoriali</vt:lpstr>
      <vt:lpstr>ImportoAltriCosti</vt:lpstr>
      <vt:lpstr>ImportoCostoCostruzione</vt:lpstr>
      <vt:lpstr>ImportoCostoCostruzione_conAltriCosti</vt:lpstr>
      <vt:lpstr>ImportoCostoCostruzione_StatoFattoProgetto</vt:lpstr>
      <vt:lpstr>'Costo Costruzione'!ImportoOneriSmaltimentoRif</vt:lpstr>
      <vt:lpstr>'Costo costruzione statofatto'!ImportoOneriSmaltimentoRif</vt:lpstr>
      <vt:lpstr>'Determinazione classe'!ImportoOneriSmaltimentoRif</vt:lpstr>
      <vt:lpstr>ImportoOneriSmaltimentoRif</vt:lpstr>
      <vt:lpstr>ImportoOneriSmaltRif_NuovaDest</vt:lpstr>
      <vt:lpstr>ImportoOneriUrb1</vt:lpstr>
      <vt:lpstr>ImportoOneriUrb1_NuovaDest</vt:lpstr>
      <vt:lpstr>ImportoOneriUrb2</vt:lpstr>
      <vt:lpstr>ImportoOneriUrb2_NuovaDest</vt:lpstr>
      <vt:lpstr>'Costo Costruzione'!ImportoOneriUrbanizzazione</vt:lpstr>
      <vt:lpstr>'Costo costruzione statofatto'!ImportoOneriUrbanizzazione</vt:lpstr>
      <vt:lpstr>'Determinazione classe'!ImportoOneriUrbanizzazione</vt:lpstr>
      <vt:lpstr>ImportoOneriUrbanizzazione</vt:lpstr>
      <vt:lpstr>ImportoOneriUrbanizzazione_NuovaDest</vt:lpstr>
      <vt:lpstr>ImportoOneriUrbanizzazione_Riferimento</vt:lpstr>
      <vt:lpstr>ImportoOneriUrbPrim_NuovaDest</vt:lpstr>
      <vt:lpstr>ImportoOneriUrbRecSottPrimaria</vt:lpstr>
      <vt:lpstr>ImportoOneriUrbRecSottSecondaria</vt:lpstr>
      <vt:lpstr>ImportoSmaltRifiuti_NuovaDest</vt:lpstr>
      <vt:lpstr>InSanatoria</vt:lpstr>
      <vt:lpstr>link_descrizione_intervento</vt:lpstr>
      <vt:lpstr>link_monetizzazione_standards</vt:lpstr>
      <vt:lpstr>link_oneri_urbanizzazione</vt:lpstr>
      <vt:lpstr>link_oneri_urbanizzazione_cambio_uso</vt:lpstr>
      <vt:lpstr>'Costo Costruzione'!Maggiorazione</vt:lpstr>
      <vt:lpstr>'Costo costruzione statofatto'!Maggiorazione</vt:lpstr>
      <vt:lpstr>'Determinazione classe'!Maggiorazione</vt:lpstr>
      <vt:lpstr>Maggiorazione</vt:lpstr>
      <vt:lpstr>MatriceParametri</vt:lpstr>
      <vt:lpstr>'Costo Costruzione'!Monetizz_Aree_sup</vt:lpstr>
      <vt:lpstr>'Costo costruzione statofatto'!Monetizz_Aree_sup</vt:lpstr>
      <vt:lpstr>'Determinazione classe'!Monetizz_Aree_sup</vt:lpstr>
      <vt:lpstr>Monetizz_Aree_sup</vt:lpstr>
      <vt:lpstr>'Costo Costruzione'!Monetizz_Parcheggi_Sup</vt:lpstr>
      <vt:lpstr>'Costo costruzione statofatto'!Monetizz_Parcheggi_Sup</vt:lpstr>
      <vt:lpstr>'Determinazione classe'!Monetizz_Parcheggi_Sup</vt:lpstr>
      <vt:lpstr>Monetizz_Parcheggi_Sup</vt:lpstr>
      <vt:lpstr>'Costo Costruzione'!Monetizzazione</vt:lpstr>
      <vt:lpstr>'Costo costruzione statofatto'!Monetizzazione</vt:lpstr>
      <vt:lpstr>'Determinazione classe'!Monetizzazione</vt:lpstr>
      <vt:lpstr>Monetizzazione</vt:lpstr>
      <vt:lpstr>OC_RispEnerResid_Hide</vt:lpstr>
      <vt:lpstr>OC_RispEnerSecResid_Hide</vt:lpstr>
      <vt:lpstr>Oneri_Urb_Prim_Corrisposti</vt:lpstr>
      <vt:lpstr>oneri_urb_prim_dest_finale</vt:lpstr>
      <vt:lpstr>oneri_urb_prim_dest_iniziale</vt:lpstr>
      <vt:lpstr>Oneri_Urb_Sec_Corrisposti</vt:lpstr>
      <vt:lpstr>oneri_urb_sec_dest_finale</vt:lpstr>
      <vt:lpstr>oneri_urb_sec_dest_iniziale</vt:lpstr>
      <vt:lpstr>'Costo Costruzione'!OneriTotali</vt:lpstr>
      <vt:lpstr>'Costo costruzione statofatto'!OneriTotali</vt:lpstr>
      <vt:lpstr>'Determinazione classe'!OneriTotali</vt:lpstr>
      <vt:lpstr>OnPrim_RiduzioneDensificazione</vt:lpstr>
      <vt:lpstr>OnPrim_RiduzionePianoCasa</vt:lpstr>
      <vt:lpstr>OnPrim_RiduzioneRispEnerg</vt:lpstr>
      <vt:lpstr>OnPrim_RiduzioneSostituzione</vt:lpstr>
      <vt:lpstr>OnSec_RiduzioneDensificazione</vt:lpstr>
      <vt:lpstr>OnSec_RiduzionePianoCasa</vt:lpstr>
      <vt:lpstr>OnSec_RiduzioneRispEnerg</vt:lpstr>
      <vt:lpstr>OnSec_RiduzioneSostituzione</vt:lpstr>
      <vt:lpstr>OnUrb_AltriCosti_DescMaggCostoCAreeAgr</vt:lpstr>
      <vt:lpstr>OnUrb_AltriCosti_ValoreMaggCostoCAreeAgr</vt:lpstr>
      <vt:lpstr>OpereUrbPrimRealizzate</vt:lpstr>
      <vt:lpstr>OpereUrbSecRealizzate</vt:lpstr>
      <vt:lpstr>opzioni</vt:lpstr>
      <vt:lpstr>Ou_Cost_AttCulSan_NuovaEdif</vt:lpstr>
      <vt:lpstr>Ou_Cost_AttSpett_NuovaEdif</vt:lpstr>
      <vt:lpstr>Ou_Cost_AttSport_NuovaEdif</vt:lpstr>
      <vt:lpstr>Ou_Cost_Comm_NuovaEdif</vt:lpstr>
      <vt:lpstr>Ou_Cost_IndAlb_NuovaEdif</vt:lpstr>
      <vt:lpstr>Ou_Cost_IndArt_NuovaEdif</vt:lpstr>
      <vt:lpstr>Ou_Cost_Parc_NuovaEdif</vt:lpstr>
      <vt:lpstr>Ou_Cost_Personalizzazione1_NuovaEdif</vt:lpstr>
      <vt:lpstr>Ou_Cost_Personalizzazione2_NuovaEdif</vt:lpstr>
      <vt:lpstr>Ou_Cost_Personalizzazione3_NuovaEdif</vt:lpstr>
      <vt:lpstr>Ou_Cost_Personalizzazione4_NuovaEdif</vt:lpstr>
      <vt:lpstr>Ou_Cost_Personalizzazione5_NuovaEdif</vt:lpstr>
      <vt:lpstr>Ou_Cost_Res_NuovaEdif</vt:lpstr>
      <vt:lpstr>Ou_NuovaEd_AreaAgricola</vt:lpstr>
      <vt:lpstr>Ou_NuovaEd_AreaAgricolaPerc</vt:lpstr>
      <vt:lpstr>Ou_NuovaEd_AreaAgricolaSupAreaAg</vt:lpstr>
      <vt:lpstr>Ou_NuovaEd_AreaAgricolaSupLotto</vt:lpstr>
      <vt:lpstr>Ou_NuovaEd_AttSpet_ParReale</vt:lpstr>
      <vt:lpstr>Ou_NuovaEd_AttSpet_ParVirt</vt:lpstr>
      <vt:lpstr>Ou_NuovaEd_AttSpor_ParReale</vt:lpstr>
      <vt:lpstr>Ou_NuovaEd_AttSpor_ParVirt</vt:lpstr>
      <vt:lpstr>Ou_NuovaEd_Com_ParReale</vt:lpstr>
      <vt:lpstr>Ou_NuovaEd_Com_ParVirt</vt:lpstr>
      <vt:lpstr>Ou_NuovaEd_CultSan_ParReale</vt:lpstr>
      <vt:lpstr>Ou_NuovaEd_CultSan_ParVirt</vt:lpstr>
      <vt:lpstr>Ou_NuovaEd_IndAlb_ParReale</vt:lpstr>
      <vt:lpstr>Ou_NuovaEd_IndAlb_ParVirt</vt:lpstr>
      <vt:lpstr>Ou_NuovaEd_IndArt_ParReale</vt:lpstr>
      <vt:lpstr>Ou_NuovaEd_IndArt_ParVirt</vt:lpstr>
      <vt:lpstr>Ou_NuovaEd_ParSil_ParReale</vt:lpstr>
      <vt:lpstr>Ou_NuovaEd_ParSil_ParVirt</vt:lpstr>
      <vt:lpstr>Ou_NuovaEd_Person1_ParVirt</vt:lpstr>
      <vt:lpstr>Ou_NuovaEd_Person2_ParVirt</vt:lpstr>
      <vt:lpstr>Ou_NuovaEd_Person3_ParVirt</vt:lpstr>
      <vt:lpstr>Ou_NuovaEd_Person4_ParVirt</vt:lpstr>
      <vt:lpstr>Ou_NuovaEd_Person5_ParVirt</vt:lpstr>
      <vt:lpstr>Ou_NuovaEd_Res_ParVirt</vt:lpstr>
      <vt:lpstr>Ou_NuovaEd_Sottotetti_ParReale</vt:lpstr>
      <vt:lpstr>Ou_NuovaEd_Sottotetti_ParVirt</vt:lpstr>
      <vt:lpstr>Ou_PrimariaDefiniti</vt:lpstr>
      <vt:lpstr>Ou_Rist_AttSpet</vt:lpstr>
      <vt:lpstr>Ou_Rist_AttSpet_CompMet</vt:lpstr>
      <vt:lpstr>Ou_Rist_AttSpet_ParReale</vt:lpstr>
      <vt:lpstr>Ou_Rist_AttSpet_ParVirt</vt:lpstr>
      <vt:lpstr>Ou_Rist_AttSpor</vt:lpstr>
      <vt:lpstr>Ou_Rist_AttSpor_CompMet</vt:lpstr>
      <vt:lpstr>Ou_Rist_AttSpor_ParReale</vt:lpstr>
      <vt:lpstr>Ou_Rist_AttSpor_ParVirt</vt:lpstr>
      <vt:lpstr>Ou_Rist_Com</vt:lpstr>
      <vt:lpstr>Ou_Rist_Com_CompMet</vt:lpstr>
      <vt:lpstr>Ou_Rist_Com_ParReale</vt:lpstr>
      <vt:lpstr>Ou_Rist_Com_ParVirt</vt:lpstr>
      <vt:lpstr>Ou_Rist_CultSan</vt:lpstr>
      <vt:lpstr>Ou_Rist_CultSan_CompMet</vt:lpstr>
      <vt:lpstr>Ou_Rist_CultSan_ParReale</vt:lpstr>
      <vt:lpstr>Ou_Rist_CultSan_ParVirt</vt:lpstr>
      <vt:lpstr>Ou_Rist_IndAlb</vt:lpstr>
      <vt:lpstr>Ou_Rist_IndAlb_CompMet</vt:lpstr>
      <vt:lpstr>Ou_Rist_IndAlb_ParReale</vt:lpstr>
      <vt:lpstr>Ou_Rist_IndAlb_ParVirt</vt:lpstr>
      <vt:lpstr>Ou_Rist_IndArt</vt:lpstr>
      <vt:lpstr>Ou_Rist_IndArt_CompMet</vt:lpstr>
      <vt:lpstr>Ou_Rist_IndArt_ParReale</vt:lpstr>
      <vt:lpstr>Ou_Rist_IndArt_ParVirt</vt:lpstr>
      <vt:lpstr>Ou_Rist_ParSil</vt:lpstr>
      <vt:lpstr>Ou_Rist_ParSil_CompMet</vt:lpstr>
      <vt:lpstr>Ou_Rist_ParSil_ParReale</vt:lpstr>
      <vt:lpstr>Ou_Rist_ParSil_ParVirt</vt:lpstr>
      <vt:lpstr>Ou_Rist_Personalizzazione1</vt:lpstr>
      <vt:lpstr>Ou_Rist_Personalizzazione1_CompMet</vt:lpstr>
      <vt:lpstr>Ou_Rist_Personalizzazione1_ParReale</vt:lpstr>
      <vt:lpstr>Ou_Rist_Personalizzazione1_ParVirt</vt:lpstr>
      <vt:lpstr>Ou_Rist_Personalizzazione2</vt:lpstr>
      <vt:lpstr>Ou_Rist_Personalizzazione2_CompMet</vt:lpstr>
      <vt:lpstr>Ou_Rist_Personalizzazione2_ParReale</vt:lpstr>
      <vt:lpstr>Ou_Rist_Personalizzazione2_ParVirt</vt:lpstr>
      <vt:lpstr>Ou_Rist_Personalizzazione3</vt:lpstr>
      <vt:lpstr>Ou_Rist_Personalizzazione3_CompMet</vt:lpstr>
      <vt:lpstr>Ou_Rist_Personalizzazione3_ParReale</vt:lpstr>
      <vt:lpstr>Ou_Rist_Personalizzazione3_ParVirt</vt:lpstr>
      <vt:lpstr>Ou_Rist_Personalizzazione4</vt:lpstr>
      <vt:lpstr>Ou_Rist_Personalizzazione4_CompMet</vt:lpstr>
      <vt:lpstr>Ou_Rist_Personalizzazione4_ParReale</vt:lpstr>
      <vt:lpstr>Ou_Rist_Personalizzazione4_ParVirt</vt:lpstr>
      <vt:lpstr>Ou_Rist_Personalizzazione5</vt:lpstr>
      <vt:lpstr>Ou_Rist_Personalizzazione5_CompMet</vt:lpstr>
      <vt:lpstr>Ou_Rist_Personalizzazione5_ParReale</vt:lpstr>
      <vt:lpstr>Ou_Rist_Personalizzazione5_ParVirt</vt:lpstr>
      <vt:lpstr>Ou_Rist_Res</vt:lpstr>
      <vt:lpstr>Ou_Rist_Res_CompMet</vt:lpstr>
      <vt:lpstr>'Costo Costruzione'!Ou_Rist_Res_ParReale</vt:lpstr>
      <vt:lpstr>'Costo costruzione statofatto'!Ou_Rist_Res_ParReale</vt:lpstr>
      <vt:lpstr>'Determinazione classe'!Ou_Rist_Res_ParReale</vt:lpstr>
      <vt:lpstr>Ou_Rist_Res_ParReale</vt:lpstr>
      <vt:lpstr>Ou_Rist_Res_ParVirt</vt:lpstr>
      <vt:lpstr>Ou_SecDefiniti</vt:lpstr>
      <vt:lpstr>Ou_UsoIniziale_AttSpet_ParVirt</vt:lpstr>
      <vt:lpstr>Ou_UsoIniziale_AttSpor_ParVirt</vt:lpstr>
      <vt:lpstr>Ou_UsoIniziale_Com_ParVirt</vt:lpstr>
      <vt:lpstr>Ou_UsoIniziale_CultSan_ParVirt</vt:lpstr>
      <vt:lpstr>Ou_UsoIniziale_IndAlb_ParVirt</vt:lpstr>
      <vt:lpstr>Ou_UsoIniziale_IndArt_ParVirt</vt:lpstr>
      <vt:lpstr>Ou_UsoIniziale_ParSil_ParVirt</vt:lpstr>
      <vt:lpstr>Ou_UsoIniziale_Person1_ParVirt</vt:lpstr>
      <vt:lpstr>Ou_UsoIniziale_Person2_ParVirt</vt:lpstr>
      <vt:lpstr>Ou_UsoIniziale_Person3_ParVirt</vt:lpstr>
      <vt:lpstr>Ou_UsoIniziale_Person4_ParVirt</vt:lpstr>
      <vt:lpstr>Ou_UsoIniziale_Person5_ParVirt</vt:lpstr>
      <vt:lpstr>Ou_UsoIniziale_Res_ParVirt</vt:lpstr>
      <vt:lpstr>Par_PianoCasa_Rid</vt:lpstr>
      <vt:lpstr>Par_PianoCasa_RidCC</vt:lpstr>
      <vt:lpstr>Par_Rid_ConsumoSuolo</vt:lpstr>
      <vt:lpstr>Par_Rid_Densificazione_CC</vt:lpstr>
      <vt:lpstr>Par_Rid_Densificazione_Oneri</vt:lpstr>
      <vt:lpstr>Par_Sostituzione_Rid_Oneri</vt:lpstr>
      <vt:lpstr>Parametri_Aliquota_terziario_nuova_costr</vt:lpstr>
      <vt:lpstr>Parametri_Aliquota_terziario_ristrutt</vt:lpstr>
      <vt:lpstr>Parametri_Classi</vt:lpstr>
      <vt:lpstr>Parametri_ClassiSopr50000Ab</vt:lpstr>
      <vt:lpstr>Parametri_ColonnaDesinazione1</vt:lpstr>
      <vt:lpstr>Parametri_DestUsoPersonalizzazione1</vt:lpstr>
      <vt:lpstr>Parametri_DestUsoPersonalizzazione10</vt:lpstr>
      <vt:lpstr>Parametri_DestUsoPersonalizzazione11</vt:lpstr>
      <vt:lpstr>Parametri_DestUsoPersonalizzazione12</vt:lpstr>
      <vt:lpstr>Parametri_DestUsoPersonalizzazione13</vt:lpstr>
      <vt:lpstr>Parametri_DestUsoPersonalizzazione2</vt:lpstr>
      <vt:lpstr>Parametri_DestUsoPersonalizzazione3</vt:lpstr>
      <vt:lpstr>Parametri_DestUsoPersonalizzazione4</vt:lpstr>
      <vt:lpstr>Parametri_DestUsoPersonalizzazione5</vt:lpstr>
      <vt:lpstr>Parametri_DestUsoPersonalizzazione6</vt:lpstr>
      <vt:lpstr>Parametri_DestUsoPersonalizzazione7</vt:lpstr>
      <vt:lpstr>Parametri_DestUsoPersonalizzazione8</vt:lpstr>
      <vt:lpstr>Parametri_DestUsoPersonalizzazione9</vt:lpstr>
      <vt:lpstr>Parametri_ElencoPercRidConsumoSuolo</vt:lpstr>
      <vt:lpstr>Parametri_ElencoZoneMatrice</vt:lpstr>
      <vt:lpstr>Parametri_ElencoZoneMonetizzAreeStandDesc</vt:lpstr>
      <vt:lpstr>Parametri_ElencoZoneMonetizzParcheggiDesc</vt:lpstr>
      <vt:lpstr>Parametri_ElencoZoneParcheggiMatrice</vt:lpstr>
      <vt:lpstr>Parametri_ElencoZoneTerritorialiDesc</vt:lpstr>
      <vt:lpstr>Parametri_MaggiorazioneAreeAgric</vt:lpstr>
      <vt:lpstr>Parametri_MaggiorazioneSottotetti</vt:lpstr>
      <vt:lpstr>Parametri_MaggiorazioneSottotettiCC</vt:lpstr>
      <vt:lpstr>Parametri_MaxClassi</vt:lpstr>
      <vt:lpstr>Parametri_MaxClassiSopr50000Ab</vt:lpstr>
      <vt:lpstr>Parametri_MinClassi</vt:lpstr>
      <vt:lpstr>Parametri_MinClassiSopr50000Ab</vt:lpstr>
      <vt:lpstr>Parametri_MonetizzazioneAreeStand</vt:lpstr>
      <vt:lpstr>Parametri_MonetizzazioneParcheggi</vt:lpstr>
      <vt:lpstr>Parcheggio_Recupero_Sottotetti</vt:lpstr>
      <vt:lpstr>passo_descrizione_intervento</vt:lpstr>
      <vt:lpstr>PianoCasa</vt:lpstr>
      <vt:lpstr>Rateizzazione_1RataCC</vt:lpstr>
      <vt:lpstr>Rateizzazione_1RataOnPrim</vt:lpstr>
      <vt:lpstr>Rateizzazione_1RataOnSec</vt:lpstr>
      <vt:lpstr>Rateizzazione_1RataSR</vt:lpstr>
      <vt:lpstr>Rateizzazione_2RataCC</vt:lpstr>
      <vt:lpstr>Rateizzazione_2RataOnPrim</vt:lpstr>
      <vt:lpstr>Rateizzazione_2RataOnSec</vt:lpstr>
      <vt:lpstr>Rateizzazione_2RataSR</vt:lpstr>
      <vt:lpstr>Rateizzazione_3RataCC</vt:lpstr>
      <vt:lpstr>Rateizzazione_3RataOnPrim</vt:lpstr>
      <vt:lpstr>Rateizzazione_3RataOnSec</vt:lpstr>
      <vt:lpstr>Rateizzazione_3RataSR</vt:lpstr>
      <vt:lpstr>Rateizzazione_4RataCC</vt:lpstr>
      <vt:lpstr>Rateizzazione_4RataOnPrim</vt:lpstr>
      <vt:lpstr>Rateizzazione_4RataOnSec</vt:lpstr>
      <vt:lpstr>Rateizzazione_4RataSR</vt:lpstr>
      <vt:lpstr>Rateizzazione_DataProtocollo</vt:lpstr>
      <vt:lpstr>Rateizzazione_ImportoFidejussione</vt:lpstr>
      <vt:lpstr>Rateizzazione_InteresseLegale</vt:lpstr>
      <vt:lpstr>Rateizzazione_Sanzioni</vt:lpstr>
      <vt:lpstr>Rateizzazione_Scadenza1Rata</vt:lpstr>
      <vt:lpstr>Rateizzazione_Scadenza2Rata</vt:lpstr>
      <vt:lpstr>Rateizzazione_Scadenza3Rata</vt:lpstr>
      <vt:lpstr>Rateizzazione_Scadenza4Rata</vt:lpstr>
      <vt:lpstr>Rateizzazione_ScadenzaFidejussione</vt:lpstr>
      <vt:lpstr>Rateizzazione_Totale1Rata</vt:lpstr>
      <vt:lpstr>Rateizzazione_Totale2Rata</vt:lpstr>
      <vt:lpstr>Rateizzazione_Totale3Rata</vt:lpstr>
      <vt:lpstr>Rateizzazione_Totale4Rata</vt:lpstr>
      <vt:lpstr>Rateizzazione_TotaleRate</vt:lpstr>
      <vt:lpstr>Riep_DatiProg_EvSupSottRec</vt:lpstr>
      <vt:lpstr>Riep_DatiProg_SupComp</vt:lpstr>
      <vt:lpstr>Riepilogo_AltriCosti</vt:lpstr>
      <vt:lpstr>Riepilogo_CC_AltriCosti_ValoreMaggCostoCAreeAgr</vt:lpstr>
      <vt:lpstr>Riepilogo_Cc_OneriSmaltRifiutiRif</vt:lpstr>
      <vt:lpstr>Riepilogo_CC_RiduzioneDensificazione</vt:lpstr>
      <vt:lpstr>Riepilogo_CC_RiduzionePianoCasa</vt:lpstr>
      <vt:lpstr>Riepilogo_ContCostCompresaMagg</vt:lpstr>
      <vt:lpstr>Riepilogo_Contributo_costruzione</vt:lpstr>
      <vt:lpstr>Riepilogo_CostoCostEsclusoSott</vt:lpstr>
      <vt:lpstr>Riepilogo_CostoCostruzione</vt:lpstr>
      <vt:lpstr>Riepilogo_CostoCostruzione_StatoFattoProgetto</vt:lpstr>
      <vt:lpstr>Riepilogo_CostoCostruzione_totale</vt:lpstr>
      <vt:lpstr>Riepilogo_CostoCostSott</vt:lpstr>
      <vt:lpstr>Riepilogo_DirittiTecnici</vt:lpstr>
      <vt:lpstr>Riepilogo_MaggCostoCostConsumoSuolo</vt:lpstr>
      <vt:lpstr>Riepilogo_MaggCostoCostSott</vt:lpstr>
      <vt:lpstr>Riepilogo_MaggCostoStFattoCostConsumoSuolo</vt:lpstr>
      <vt:lpstr>Riepilogo_MaggOneriUrbPrimSott</vt:lpstr>
      <vt:lpstr>Riepilogo_MaggOneriUrbSecSott</vt:lpstr>
      <vt:lpstr>Riepilogo_MonetizzAreeStand</vt:lpstr>
      <vt:lpstr>Riepilogo_MonetizzParcheggi</vt:lpstr>
      <vt:lpstr>Riepilogo_Oblazione</vt:lpstr>
      <vt:lpstr>Riepilogo_Oneri_Urb_Prim_Corrisposti</vt:lpstr>
      <vt:lpstr>Riepilogo_Oneri_Urb_Sec_Corrisposti</vt:lpstr>
      <vt:lpstr>Riepilogo_OneriSecPrim</vt:lpstr>
      <vt:lpstr>Riepilogo_OneriSmaltRifiutiCambioUso</vt:lpstr>
      <vt:lpstr>Riepilogo_OneriSmaltRifiutiRif</vt:lpstr>
      <vt:lpstr>Riepilogo_OneriUrbanizzazione</vt:lpstr>
      <vt:lpstr>Riepilogo_OneriUrbPrim</vt:lpstr>
      <vt:lpstr>Riepilogo_OneriUrbPrimCambioUso</vt:lpstr>
      <vt:lpstr>Riepilogo_OneriUrbPrimEsclusoSott</vt:lpstr>
      <vt:lpstr>Riepilogo_OneriUrbPrimSott</vt:lpstr>
      <vt:lpstr>Riepilogo_OneriUrbSecCambioUso</vt:lpstr>
      <vt:lpstr>Riepilogo_OneriUrbSecEsclusoSott</vt:lpstr>
      <vt:lpstr>Riepilogo_OneriUrbSecSott</vt:lpstr>
      <vt:lpstr>Riepilogo_OnUrb_AltriCosti_ValoreMaggCostoCAreeAgr</vt:lpstr>
      <vt:lpstr>Riepilogo_OpereUrbPrimRealizzate</vt:lpstr>
      <vt:lpstr>Riepilogo_OpereUrbSecRealizzate</vt:lpstr>
      <vt:lpstr>Riepilogo_RiduDensificazioneOneriUrbPrim</vt:lpstr>
      <vt:lpstr>Riepilogo_RiduDensificazioneOneriUrbSec</vt:lpstr>
      <vt:lpstr>Riepilogo_RiduPianoCasaOneriUrbPrim</vt:lpstr>
      <vt:lpstr>Riepilogo_RiduPianoCasaOneriUrbSec</vt:lpstr>
      <vt:lpstr>Riepilogo_RiduRispEnerOup</vt:lpstr>
      <vt:lpstr>Riepilogo_RiduRispEnerOus</vt:lpstr>
      <vt:lpstr>Riepilogo_RiduSostituzioneOneriUrbPrim</vt:lpstr>
      <vt:lpstr>Riepilogo_RiduSostituzioneOneriUrbSec</vt:lpstr>
      <vt:lpstr>Riepilogo_Sanzione</vt:lpstr>
      <vt:lpstr>Riepilogo_SmaltimRif_Corrisposti</vt:lpstr>
      <vt:lpstr>RiepilogoCostoCostruzione_StatoFattoProgetto_Corrisposto</vt:lpstr>
      <vt:lpstr>RiepilogoCostoCostruzione_StatoFattoProgetto_Densifcazione</vt:lpstr>
      <vt:lpstr>RiepilogoCostoCostruzione_StatoFattoProgetto_Dovuto</vt:lpstr>
      <vt:lpstr>RiepilogoCostoCostruzione_StatoFattoProgetto_PianoCasa</vt:lpstr>
      <vt:lpstr>RistruttEdil_IndusAlberg_CambioDest</vt:lpstr>
      <vt:lpstr>selezione_ampliamento</vt:lpstr>
      <vt:lpstr>selezione_cambio_uso</vt:lpstr>
      <vt:lpstr>selezione_nuova_costr_progetto</vt:lpstr>
      <vt:lpstr>selezione_nuova_costr_stato_fatto</vt:lpstr>
      <vt:lpstr>selezione_nuova_costruzione</vt:lpstr>
      <vt:lpstr>selezione_passo_descrizione_intervento</vt:lpstr>
      <vt:lpstr>selezione_ristrutturazione</vt:lpstr>
      <vt:lpstr>selezione_sottotetti</vt:lpstr>
      <vt:lpstr>smalt_rifiuti_dest_finale</vt:lpstr>
      <vt:lpstr>smalt_rifiuti_dest_iniziale</vt:lpstr>
      <vt:lpstr>SmaltimRif_Corrisposti</vt:lpstr>
      <vt:lpstr>Sostituzione</vt:lpstr>
      <vt:lpstr>Test</vt:lpstr>
      <vt:lpstr>Totale_alloggi_edificio</vt:lpstr>
      <vt:lpstr>Totale_snr_edificio</vt:lpstr>
      <vt:lpstr>Totale_sua_edificio</vt:lpstr>
      <vt:lpstr>'Costo Costruzione'!TotaleIncrementi</vt:lpstr>
      <vt:lpstr>'Costo costruzione statofatto'!TotaleIncrementi</vt:lpstr>
      <vt:lpstr>'Determinazione classe'!TotaleIncrementi</vt:lpstr>
      <vt:lpstr>TotaleIncrementi</vt:lpstr>
      <vt:lpstr>UIrecuperate</vt:lpstr>
      <vt:lpstr>Volume_Recupero_Sottotetti</vt:lpstr>
      <vt:lpstr>Zona1</vt:lpstr>
      <vt:lpstr>Zona10</vt:lpstr>
      <vt:lpstr>Zona11</vt:lpstr>
      <vt:lpstr>Zona12</vt:lpstr>
      <vt:lpstr>Zona13</vt:lpstr>
      <vt:lpstr>Zona14</vt:lpstr>
      <vt:lpstr>Zona15</vt:lpstr>
      <vt:lpstr>Zona2</vt:lpstr>
      <vt:lpstr>Zona3</vt:lpstr>
      <vt:lpstr>Zona4</vt:lpstr>
      <vt:lpstr>Zona5</vt:lpstr>
      <vt:lpstr>Zona6</vt:lpstr>
      <vt:lpstr>Zona7</vt:lpstr>
      <vt:lpstr>Zona8</vt:lpstr>
      <vt:lpstr>Zona9</vt:lpstr>
      <vt:lpstr>ZonaMonetizzazioneAreeStand</vt:lpstr>
      <vt:lpstr>ZonaMonetizzazioneAreeStand_Valore</vt:lpstr>
      <vt:lpstr>ZonaMonetizzazioneParcheg</vt:lpstr>
      <vt:lpstr>ZonaMonetizzazioneParcheggi_Valore</vt:lpstr>
      <vt:lpstr>ZonaTerritoriale</vt:lpstr>
    </vt:vector>
  </TitlesOfParts>
  <Company>Comune di Bergamo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Calcolo oneri</dc:subject>
  <dc:creator>Globo</dc:creator>
  <dc:description>Versione del 28/10/2010
Parametri di calcolo 2010</dc:description>
  <cp:lastModifiedBy>Massimo Solimbergo</cp:lastModifiedBy>
  <cp:lastPrinted>2014-12-23T07:45:28Z</cp:lastPrinted>
  <dcterms:created xsi:type="dcterms:W3CDTF">2009-09-03T10:46:29Z</dcterms:created>
  <dcterms:modified xsi:type="dcterms:W3CDTF">2023-07-03T13:12:00Z</dcterms:modified>
</cp:coreProperties>
</file>